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65" windowWidth="19875" windowHeight="7395" firstSheet="2" activeTab="2"/>
  </bookViews>
  <sheets>
    <sheet name="Tab 29" sheetId="2" state="hidden" r:id="rId1"/>
    <sheet name="Tab 29 zmiany" sheetId="1" state="hidden" r:id="rId2"/>
    <sheet name="Tab 29 po zmianach" sheetId="3" r:id="rId3"/>
    <sheet name="Tab 35 LSR upro IX 2017" sheetId="4" r:id="rId4"/>
    <sheet name="Tab 34 - il m. pra IX 2017" sheetId="5" r:id="rId5"/>
  </sheets>
  <externalReferences>
    <externalReference r:id="rId6"/>
  </externalReferences>
  <definedNames>
    <definedName name="_xlnm._FilterDatabase" localSheetId="0" hidden="1">'Tab 29'!$B$4:$AF$37</definedName>
    <definedName name="_xlnm._FilterDatabase" localSheetId="2" hidden="1">'Tab 29 po zmianach'!$B$4:$AL$32</definedName>
    <definedName name="_xlnm._FilterDatabase" localSheetId="1" hidden="1">'Tab 29 zmiany'!$B$4:$AI$42</definedName>
    <definedName name="_xlnm.Print_Area" localSheetId="0">'Tab 29'!$A$1:$AG$47</definedName>
    <definedName name="_xlnm.Print_Area" localSheetId="2">'Tab 29 po zmianach'!$A$1:$AL$35</definedName>
    <definedName name="_xlnm.Print_Area" localSheetId="1">'Tab 29 zmiany'!$A$1:$AJ$44</definedName>
    <definedName name="_xlnm.Print_Titles" localSheetId="2">'Tab 29 po zmianach'!$1:$4</definedName>
    <definedName name="_xlnm.Print_Titles" localSheetId="1">'Tab 29 zmiany'!$1:$5</definedName>
    <definedName name="Z_C46F7B89_B207_4AA8_80AC_E93399029D91_.wvu.Cols" localSheetId="3" hidden="1">'Tab 35 LSR upro IX 2017'!$B:$B,'Tab 35 LSR upro IX 2017'!$E:$E</definedName>
    <definedName name="Z_D590BA0D_4D5B_43B7_BFB0_6434E5844A5A_.wvu.Cols" localSheetId="0" hidden="1">'Tab 29'!$G:$G,'Tab 29'!$I:$I,'Tab 29'!$P:$P,'Tab 29'!$R:$R,'Tab 29'!$AB:$AB,'Tab 29'!$AD:$AE</definedName>
    <definedName name="Z_D590BA0D_4D5B_43B7_BFB0_6434E5844A5A_.wvu.Cols" localSheetId="2" hidden="1">'Tab 29 po zmianach'!#REF!,'Tab 29 po zmianach'!$H:$H,'Tab 29 po zmianach'!#REF!,'Tab 29 po zmianach'!$Q:$Q,'Tab 29 po zmianach'!#REF!,'Tab 29 po zmianach'!$AJ:$AK</definedName>
    <definedName name="Z_D590BA0D_4D5B_43B7_BFB0_6434E5844A5A_.wvu.Cols" localSheetId="1" hidden="1">'Tab 29 zmiany'!$G:$G,'Tab 29 zmiany'!$I:$I,'Tab 29 zmiany'!$P:$P,'Tab 29 zmiany'!$R:$R,'Tab 29 zmiany'!$AE:$AE,'Tab 29 zmiany'!$AG:$AH</definedName>
    <definedName name="Z_D590BA0D_4D5B_43B7_BFB0_6434E5844A5A_.wvu.FilterData" localSheetId="0" hidden="1">'Tab 29'!$B$4:$AF$37</definedName>
    <definedName name="Z_D590BA0D_4D5B_43B7_BFB0_6434E5844A5A_.wvu.FilterData" localSheetId="2" hidden="1">'Tab 29 po zmianach'!$B$4:$AL$30</definedName>
    <definedName name="Z_D590BA0D_4D5B_43B7_BFB0_6434E5844A5A_.wvu.FilterData" localSheetId="1" hidden="1">'Tab 29 zmiany'!$B$4:$AI$42</definedName>
    <definedName name="Z_D590BA0D_4D5B_43B7_BFB0_6434E5844A5A_.wvu.PrintArea" localSheetId="0" hidden="1">'Tab 29'!$A$1:$AG$47</definedName>
    <definedName name="Z_D590BA0D_4D5B_43B7_BFB0_6434E5844A5A_.wvu.PrintArea" localSheetId="2" hidden="1">'Tab 29 po zmianach'!$A$1:$AM$32</definedName>
    <definedName name="Z_D590BA0D_4D5B_43B7_BFB0_6434E5844A5A_.wvu.PrintArea" localSheetId="1" hidden="1">'Tab 29 zmiany'!$A$1:$AJ$44</definedName>
    <definedName name="Z_D590BA0D_4D5B_43B7_BFB0_6434E5844A5A_.wvu.PrintTitles" localSheetId="2" hidden="1">'Tab 29 po zmianach'!$1:$4</definedName>
    <definedName name="Z_D590BA0D_4D5B_43B7_BFB0_6434E5844A5A_.wvu.PrintTitles" localSheetId="1" hidden="1">'Tab 29 zmiany'!$1:$5</definedName>
  </definedNames>
  <calcPr calcId="145621"/>
</workbook>
</file>

<file path=xl/calcChain.xml><?xml version="1.0" encoding="utf-8"?>
<calcChain xmlns="http://schemas.openxmlformats.org/spreadsheetml/2006/main">
  <c r="AC21" i="3" l="1"/>
  <c r="W11" i="3"/>
  <c r="Y9" i="3"/>
  <c r="AC8" i="3"/>
  <c r="W8" i="3"/>
  <c r="K13" i="3"/>
  <c r="C9" i="4"/>
  <c r="C17" i="4"/>
  <c r="K37" i="5"/>
  <c r="J37" i="5"/>
  <c r="I37" i="5"/>
  <c r="G39" i="5"/>
  <c r="H38" i="5"/>
  <c r="H37" i="5"/>
  <c r="G38" i="5"/>
  <c r="G37" i="5"/>
  <c r="L37" i="5"/>
  <c r="G36" i="5"/>
  <c r="D36" i="5"/>
  <c r="G21" i="4" l="1"/>
  <c r="G20" i="4"/>
  <c r="J20" i="4" s="1"/>
  <c r="G18" i="4"/>
  <c r="J18" i="4" s="1"/>
  <c r="G17" i="4"/>
  <c r="G16" i="4"/>
  <c r="T33" i="3"/>
  <c r="T29" i="3"/>
  <c r="T26" i="3"/>
  <c r="T16" i="3"/>
  <c r="T13" i="3"/>
  <c r="T19" i="3"/>
  <c r="T22" i="3"/>
  <c r="G10" i="4"/>
  <c r="G9" i="4"/>
  <c r="G8" i="4"/>
  <c r="J8" i="4" s="1"/>
  <c r="N30" i="5"/>
  <c r="M30" i="5"/>
  <c r="N29" i="5"/>
  <c r="M29" i="5"/>
  <c r="K29" i="5"/>
  <c r="J29" i="5"/>
  <c r="J28" i="5"/>
  <c r="K28" i="5" s="1"/>
  <c r="H22" i="5"/>
  <c r="G22" i="5"/>
  <c r="L21" i="5"/>
  <c r="H21" i="5"/>
  <c r="G21" i="5"/>
  <c r="E21" i="5"/>
  <c r="D21" i="5"/>
  <c r="N20" i="5"/>
  <c r="H20" i="5"/>
  <c r="G20" i="5"/>
  <c r="E20" i="5"/>
  <c r="D20" i="5"/>
  <c r="H15" i="5"/>
  <c r="G15" i="5"/>
  <c r="K14" i="5"/>
  <c r="H14" i="5"/>
  <c r="G14" i="5"/>
  <c r="E14" i="5"/>
  <c r="D14" i="5"/>
  <c r="L13" i="5"/>
  <c r="L20" i="5" s="1"/>
  <c r="L23" i="5" s="1"/>
  <c r="H13" i="5"/>
  <c r="G13" i="5"/>
  <c r="E13" i="5"/>
  <c r="D13" i="5"/>
  <c r="D16" i="5" s="1"/>
  <c r="J21" i="4"/>
  <c r="N16" i="4"/>
  <c r="N15" i="4"/>
  <c r="N17" i="4" s="1"/>
  <c r="J9" i="4"/>
  <c r="G23" i="5" l="1"/>
  <c r="J21" i="5"/>
  <c r="K21" i="5" s="1"/>
  <c r="I21" i="5"/>
  <c r="G16" i="5"/>
  <c r="I16" i="5" s="1"/>
  <c r="J13" i="5"/>
  <c r="K13" i="5" s="1"/>
  <c r="K16" i="5" s="1"/>
  <c r="I14" i="5"/>
  <c r="I20" i="5"/>
  <c r="J20" i="5"/>
  <c r="J23" i="5" s="1"/>
  <c r="K23" i="5" s="1"/>
  <c r="K21" i="3"/>
  <c r="C13" i="3"/>
  <c r="G19" i="4"/>
  <c r="G14" i="4"/>
  <c r="J14" i="4" s="1"/>
  <c r="K8" i="4"/>
  <c r="I13" i="5"/>
  <c r="D23" i="5"/>
  <c r="I23" i="5" s="1"/>
  <c r="J31" i="5"/>
  <c r="K31" i="5" s="1"/>
  <c r="G7" i="4"/>
  <c r="J17" i="4"/>
  <c r="G15" i="4"/>
  <c r="J15" i="4" s="1"/>
  <c r="J10" i="4"/>
  <c r="J16" i="4"/>
  <c r="P31" i="3"/>
  <c r="P32" i="3"/>
  <c r="P33" i="3"/>
  <c r="O33" i="3"/>
  <c r="O32" i="3"/>
  <c r="P41" i="3"/>
  <c r="Y33" i="3"/>
  <c r="AA33" i="3"/>
  <c r="AC33" i="3"/>
  <c r="W33" i="3"/>
  <c r="Y32" i="3"/>
  <c r="AA32" i="3"/>
  <c r="W32" i="3"/>
  <c r="O43" i="3"/>
  <c r="R41" i="3"/>
  <c r="H36" i="5" s="1"/>
  <c r="R40" i="3"/>
  <c r="R44" i="3"/>
  <c r="P43" i="3"/>
  <c r="P45" i="3"/>
  <c r="P39" i="3"/>
  <c r="P38" i="3"/>
  <c r="AA31" i="3"/>
  <c r="Y31" i="3"/>
  <c r="W31" i="3"/>
  <c r="AC26" i="3"/>
  <c r="AC25" i="3"/>
  <c r="AC16" i="3"/>
  <c r="AC15" i="3"/>
  <c r="K20" i="5" l="1"/>
  <c r="C20" i="4"/>
  <c r="J19" i="4"/>
  <c r="R39" i="3"/>
  <c r="E36" i="5"/>
  <c r="J36" i="5" s="1"/>
  <c r="G13" i="4"/>
  <c r="J13" i="4" s="1"/>
  <c r="C33" i="3"/>
  <c r="K33" i="3"/>
  <c r="J7" i="4"/>
  <c r="M16" i="4"/>
  <c r="O16" i="4" s="1"/>
  <c r="I15" i="4"/>
  <c r="J39" i="5" l="1"/>
  <c r="AC23" i="3" l="1"/>
  <c r="AC24" i="3"/>
  <c r="AC19" i="3"/>
  <c r="AC18" i="3"/>
  <c r="AC17" i="3"/>
  <c r="AC10" i="3" l="1"/>
  <c r="AC28" i="3" l="1"/>
  <c r="AC29" i="3"/>
  <c r="W30" i="3"/>
  <c r="AC30" i="3" s="1"/>
  <c r="AC27" i="3"/>
  <c r="W25" i="3"/>
  <c r="W21" i="3"/>
  <c r="W20" i="3"/>
  <c r="AC20" i="3" s="1"/>
  <c r="W15" i="3"/>
  <c r="AC14" i="3"/>
  <c r="Y13" i="3"/>
  <c r="AC13" i="3" s="1"/>
  <c r="AC12" i="3"/>
  <c r="AC11" i="3"/>
  <c r="AC9" i="3"/>
  <c r="AI7" i="3"/>
  <c r="Y7" i="3"/>
  <c r="W7" i="3"/>
  <c r="P7" i="3"/>
  <c r="AC6" i="3"/>
  <c r="T6" i="3" s="1"/>
  <c r="AC5" i="3"/>
  <c r="W35" i="2"/>
  <c r="W33" i="2"/>
  <c r="W30" i="2"/>
  <c r="W29" i="2"/>
  <c r="W23" i="2"/>
  <c r="Y42" i="1"/>
  <c r="Y41" i="1"/>
  <c r="W40" i="1"/>
  <c r="Y40" i="1" s="1"/>
  <c r="Y39" i="1"/>
  <c r="Y37" i="1"/>
  <c r="W37" i="1"/>
  <c r="Y36" i="1"/>
  <c r="Y35" i="1"/>
  <c r="Y33" i="1"/>
  <c r="X33" i="1"/>
  <c r="W33" i="1"/>
  <c r="X32" i="1"/>
  <c r="W32" i="1"/>
  <c r="Y32" i="1" s="1"/>
  <c r="Y31" i="1"/>
  <c r="X30" i="1"/>
  <c r="Y30" i="1" s="1"/>
  <c r="Y29" i="1"/>
  <c r="Y28" i="1"/>
  <c r="X27" i="1"/>
  <c r="Y27" i="1" s="1"/>
  <c r="W25" i="1"/>
  <c r="Y25" i="1" s="1"/>
  <c r="Y24" i="1"/>
  <c r="Y23" i="1"/>
  <c r="X22" i="1"/>
  <c r="Y22" i="1" s="1"/>
  <c r="Y21" i="1"/>
  <c r="Y20" i="1"/>
  <c r="W19" i="1"/>
  <c r="Y19" i="1" s="1"/>
  <c r="W18" i="1"/>
  <c r="Y18" i="1" s="1"/>
  <c r="Y16" i="1"/>
  <c r="Y15" i="1"/>
  <c r="W14" i="1"/>
  <c r="Y14" i="1" s="1"/>
  <c r="W13" i="1"/>
  <c r="Y13" i="1" s="1"/>
  <c r="Y12" i="1"/>
  <c r="Y11" i="1"/>
  <c r="AF10" i="1"/>
  <c r="X10" i="1"/>
  <c r="W10" i="1"/>
  <c r="Y10" i="1" s="1"/>
  <c r="Q10" i="1"/>
  <c r="Y9" i="1"/>
  <c r="Y8" i="1"/>
  <c r="Y7" i="1"/>
  <c r="Y6" i="1"/>
  <c r="T9" i="3" l="1"/>
  <c r="AC32" i="3"/>
  <c r="T5" i="3"/>
  <c r="T11" i="3"/>
  <c r="AC7" i="3"/>
  <c r="T7" i="3" s="1"/>
  <c r="G12" i="4" l="1"/>
  <c r="J12" i="4" s="1"/>
  <c r="O31" i="3"/>
  <c r="K7" i="3"/>
  <c r="C5" i="3" s="1"/>
  <c r="G11" i="4"/>
  <c r="T32" i="3"/>
  <c r="R45" i="3"/>
  <c r="R43" i="3"/>
  <c r="R38" i="3"/>
  <c r="K5" i="3"/>
  <c r="AC31" i="3"/>
  <c r="T31" i="3"/>
  <c r="O38" i="3" l="1"/>
  <c r="L39" i="5"/>
  <c r="K39" i="5" s="1"/>
  <c r="L36" i="5"/>
  <c r="K36" i="5" s="1"/>
  <c r="K32" i="3"/>
  <c r="C32" i="3"/>
  <c r="O39" i="3"/>
  <c r="C11" i="4"/>
  <c r="G5" i="4" s="1"/>
  <c r="J5" i="4" s="1"/>
  <c r="G6" i="4"/>
  <c r="J11" i="4"/>
  <c r="C31" i="3"/>
  <c r="K31" i="3"/>
  <c r="M15" i="4" l="1"/>
  <c r="J6" i="4"/>
  <c r="I6" i="4"/>
  <c r="I4" i="4" s="1"/>
  <c r="O15" i="4" l="1"/>
  <c r="O17" i="4" s="1"/>
  <c r="M17" i="4"/>
</calcChain>
</file>

<file path=xl/comments1.xml><?xml version="1.0" encoding="utf-8"?>
<comments xmlns="http://schemas.openxmlformats.org/spreadsheetml/2006/main">
  <authors>
    <author>esnazyk</author>
  </authors>
  <commentList>
    <comment ref="L33" authorId="0">
      <text>
        <r>
          <rPr>
            <b/>
            <sz val="9"/>
            <color indexed="81"/>
            <rFont val="Tahoma"/>
            <family val="2"/>
            <charset val="238"/>
          </rPr>
          <t>esnazyk:</t>
        </r>
        <r>
          <rPr>
            <sz val="9"/>
            <color indexed="81"/>
            <rFont val="Tahoma"/>
            <family val="2"/>
            <charset val="238"/>
          </rPr>
          <t xml:space="preserve">
rezultat bardziej to jest
</t>
        </r>
      </text>
    </comment>
  </commentList>
</comments>
</file>

<file path=xl/comments2.xml><?xml version="1.0" encoding="utf-8"?>
<comments xmlns="http://schemas.openxmlformats.org/spreadsheetml/2006/main">
  <authors>
    <author>esnazyk</author>
  </authors>
  <commentList>
    <comment ref="X10" authorId="0">
      <text>
        <r>
          <rPr>
            <b/>
            <sz val="9"/>
            <color indexed="81"/>
            <rFont val="Tahoma"/>
            <family val="2"/>
            <charset val="238"/>
          </rPr>
          <t>esnazyk:</t>
        </r>
        <r>
          <rPr>
            <sz val="9"/>
            <color indexed="81"/>
            <rFont val="Tahoma"/>
            <family val="2"/>
            <charset val="238"/>
          </rPr>
          <t xml:space="preserve">
100 tys. Z 2.2.3</t>
        </r>
      </text>
    </comment>
    <comment ref="Q23" authorId="0">
      <text>
        <r>
          <rPr>
            <b/>
            <sz val="9"/>
            <color indexed="81"/>
            <rFont val="Tahoma"/>
            <family val="2"/>
            <charset val="238"/>
          </rPr>
          <t>esnazyk:</t>
        </r>
        <r>
          <rPr>
            <sz val="9"/>
            <color indexed="81"/>
            <rFont val="Tahoma"/>
            <family val="2"/>
            <charset val="238"/>
          </rPr>
          <t xml:space="preserve">
1 PROW + 3 RiM
</t>
        </r>
      </text>
    </comment>
    <comment ref="L37" authorId="0">
      <text>
        <r>
          <rPr>
            <b/>
            <sz val="9"/>
            <color indexed="81"/>
            <rFont val="Tahoma"/>
            <family val="2"/>
            <charset val="238"/>
          </rPr>
          <t>esnazyk:</t>
        </r>
        <r>
          <rPr>
            <sz val="9"/>
            <color indexed="81"/>
            <rFont val="Tahoma"/>
            <family val="2"/>
            <charset val="238"/>
          </rPr>
          <t xml:space="preserve">
rezultat bardziej to jest
</t>
        </r>
      </text>
    </comment>
  </commentList>
</comments>
</file>

<file path=xl/comments3.xml><?xml version="1.0" encoding="utf-8"?>
<comments xmlns="http://schemas.openxmlformats.org/spreadsheetml/2006/main">
  <authors>
    <author>esnazyk</author>
  </authors>
  <commentList>
    <comment ref="P14" authorId="0">
      <text>
        <r>
          <rPr>
            <b/>
            <sz val="9"/>
            <color indexed="81"/>
            <rFont val="Tahoma"/>
            <family val="2"/>
            <charset val="238"/>
          </rPr>
          <t>esnazyk:</t>
        </r>
        <r>
          <rPr>
            <sz val="9"/>
            <color indexed="81"/>
            <rFont val="Tahoma"/>
            <family val="2"/>
            <charset val="238"/>
          </rPr>
          <t xml:space="preserve">
1 PROW + 3 RiM
</t>
        </r>
      </text>
    </comment>
    <comment ref="L25" authorId="0">
      <text>
        <r>
          <rPr>
            <b/>
            <sz val="9"/>
            <color indexed="81"/>
            <rFont val="Tahoma"/>
            <family val="2"/>
            <charset val="238"/>
          </rPr>
          <t>esnazyk:</t>
        </r>
        <r>
          <rPr>
            <sz val="9"/>
            <color indexed="81"/>
            <rFont val="Tahoma"/>
            <family val="2"/>
            <charset val="238"/>
          </rPr>
          <t xml:space="preserve">
rezultat bardziej to jest
</t>
        </r>
      </text>
    </comment>
  </commentList>
</comments>
</file>

<file path=xl/comments4.xml><?xml version="1.0" encoding="utf-8"?>
<comments xmlns="http://schemas.openxmlformats.org/spreadsheetml/2006/main">
  <authors>
    <author>esnazyk</author>
  </authors>
  <commentList>
    <comment ref="H30" authorId="0">
      <text>
        <r>
          <rPr>
            <b/>
            <sz val="9"/>
            <color indexed="81"/>
            <rFont val="Tahoma"/>
            <family val="2"/>
            <charset val="238"/>
          </rPr>
          <t>esnazyk:</t>
        </r>
        <r>
          <rPr>
            <sz val="9"/>
            <color indexed="81"/>
            <rFont val="Tahoma"/>
            <family val="2"/>
            <charset val="238"/>
          </rPr>
          <t xml:space="preserve">
Kwota zgodna z Planem Działania z LSR</t>
        </r>
      </text>
    </comment>
  </commentList>
</comments>
</file>

<file path=xl/sharedStrings.xml><?xml version="1.0" encoding="utf-8"?>
<sst xmlns="http://schemas.openxmlformats.org/spreadsheetml/2006/main" count="1141" uniqueCount="392">
  <si>
    <t>Tabela 29</t>
  </si>
  <si>
    <t>Specyfikacja wskaźników przypisanych do celów ogólnych, szczegółowych, przedsięwzięć wraz z uzasadnieniem, źródłem danych</t>
  </si>
  <si>
    <t>Cel ogólny</t>
  </si>
  <si>
    <t>Wskaźniki oddziaływania</t>
  </si>
  <si>
    <t>Kod wskaźnika (dotyczy EFRROW)</t>
  </si>
  <si>
    <t>Jednostka miary</t>
  </si>
  <si>
    <t>Stan początkowy</t>
  </si>
  <si>
    <t>Stan za rok 2016</t>
  </si>
  <si>
    <t>Stan docelowy</t>
  </si>
  <si>
    <t>Realizacja (%)</t>
  </si>
  <si>
    <t>Źródło danych/sposób pomiaru</t>
  </si>
  <si>
    <t>Cel szczegółowy</t>
  </si>
  <si>
    <t>Wskaźniki rezultatu</t>
  </si>
  <si>
    <t>Przedsięwzięcie</t>
  </si>
  <si>
    <t>Grupy docelowe</t>
  </si>
  <si>
    <t>Sposób realizacji</t>
  </si>
  <si>
    <t>Budżet 2016-2018</t>
  </si>
  <si>
    <t>Budżet 2019-2022</t>
  </si>
  <si>
    <t>Budżet RAZEM</t>
  </si>
  <si>
    <t>Wskaźniki produktu</t>
  </si>
  <si>
    <t>Poddziałanie (dotyczy EFRROW)</t>
  </si>
  <si>
    <t>Kod  wskaźnika (dotyczy EFRROW)</t>
  </si>
  <si>
    <t>U</t>
  </si>
  <si>
    <t>P</t>
  </si>
  <si>
    <t>CO 1 Rozwój gospodarczy Doliny Baryczy służący zachowaniu specyfiki obszaru i polepszeniu jakości życia</t>
  </si>
  <si>
    <t>Utrzymanie liczby gospodarstw rybackich składających sprawozdanie RRW – 22</t>
  </si>
  <si>
    <t>szt.</t>
  </si>
  <si>
    <t>Dane IRŚ</t>
  </si>
  <si>
    <t>CS 1.1.Zwiększenie konkurencyjności sektora rybackiego</t>
  </si>
  <si>
    <t>Liczba utrzymanych lub utworzonych miejsc pracy w podmiocie rybackim   podmiocie realizującym zadania służące zachowaniu rybackiego potencjału obszaru</t>
  </si>
  <si>
    <t>1.3; 1.4</t>
  </si>
  <si>
    <t xml:space="preserve">Dane LGD z wniosku o płatność </t>
  </si>
  <si>
    <t xml:space="preserve">P 1.1.1
Zachowanie rybackiego potencjału obszaru
</t>
  </si>
  <si>
    <t>Osoby fizyczne lub prawne</t>
  </si>
  <si>
    <t xml:space="preserve">Konkurs (1.1.1)
(1 600 000,00 zł)
I/2017, I/2018
</t>
  </si>
  <si>
    <t xml:space="preserve">Liczba operacji polegających na utworzeniu lub utrzymaniu miejsca pracy w podmiocie  rybackim lub podmiocie realizującym zadania służące zachowaniu rybackiego potencjału obszaru  </t>
  </si>
  <si>
    <t>Liczba utworzonych miejsc pracy/ Liczba utrzymanych miejsc pracy</t>
  </si>
  <si>
    <t>Sprawozdania beneficjentów, dane LGD z monitoringu</t>
  </si>
  <si>
    <t>Aktywizacja (ryczałt)
Na bieżąco</t>
  </si>
  <si>
    <t xml:space="preserve">Liczba osobodni szkoleń, seminariów itp. dla podmiotów rybackich, w tym m.in: szkolenia z przeciwdziałania zamianom klimatu, promocji, przygotowania wniosków. </t>
  </si>
  <si>
    <t xml:space="preserve">Rejestr uczestników szkoleń, rejestr zaświadczeń i certyfikatów. </t>
  </si>
  <si>
    <t xml:space="preserve">Liczba wspartych lub utworzonych miejsc pracy lub nowych przedsiębiorstw w łańcuchu dostaw. </t>
  </si>
  <si>
    <t xml:space="preserve">Sprawozdania beneficjentów, dane LGD z monitoringu. </t>
  </si>
  <si>
    <t xml:space="preserve">P 1.1.2
Poprawa potencjału sprzedażowego  przedsiębiorstw rybackich
</t>
  </si>
  <si>
    <t>Osoby fizyczne lub prawne w łańcuchu dostaw produktów rybactwa</t>
  </si>
  <si>
    <t xml:space="preserve">Konkurs (1.1.2)
(900000,00 zł)
I/2017, I/2018
</t>
  </si>
  <si>
    <t xml:space="preserve">Liczba operacji polegających na utrzymaniu lub utworzeniu miejsca pracy lub utworzeniu nowego przedsiębiorstwa w łańcuchu dostaw. </t>
  </si>
  <si>
    <t>Liczba utworzonych miejsc pracy/ Liczba utrzymanych miejsc pracy/Liczba utworzonych przedsiębiorstw</t>
  </si>
  <si>
    <t>Sprawozdania beneficjentów, dane LGD z monitoringu.</t>
  </si>
  <si>
    <t xml:space="preserve">Liczba osób przeszkolonych, w tym liczba osób z grup defaworyzowanych deklarujących wzrost wiedzy na temat przeciwdziałania zmianom, promocji obszaru i umiejętności przygotowania wniosków oraz specyfiki sektora rybackiego. </t>
  </si>
  <si>
    <t>os.</t>
  </si>
  <si>
    <t>Dane LGD- rejestr uczestników szkoleń, uczestnicy projektu współpracy</t>
  </si>
  <si>
    <t xml:space="preserve">Osoby fizyczne lub prawne w łańcuchu dostaw produktów rybactwa. </t>
  </si>
  <si>
    <t>Aktywizacja (ryczałt).</t>
  </si>
  <si>
    <t>Liczba osobodni szkoleń dla podmiotów, w tym m.in: szkolenia z przeciwdziałania zamianom klimatu, promocji, przygotowania wniosków.</t>
  </si>
  <si>
    <t xml:space="preserve">Wzrost rozpoznawalności oferty Doliny Baryczy liczony jako procentowy wzrost ilości wejść na strony poświęcone ofercie turystycznej Doliny Baryczy do 2023  o średnio 5% co roku w stosunku do roku poprzedniego od 2015 r. począwszy </t>
  </si>
  <si>
    <t>%</t>
  </si>
  <si>
    <t xml:space="preserve">Dane google analytics, Ankieta, dane LGD </t>
  </si>
  <si>
    <t>CS 1.2 Rozwój lokalnej przedsiębiorczości</t>
  </si>
  <si>
    <t xml:space="preserve">Liczba utrzymanych lub utworzonych miejsc pracy lub nowych przedsiębiorstw w branży produktów lub usług lokalnych </t>
  </si>
  <si>
    <t xml:space="preserve">P 1.2.1
Wsparcie rybackiego charakteru obszaru.
</t>
  </si>
  <si>
    <t xml:space="preserve">Osoby fizyczne lub prawne.  </t>
  </si>
  <si>
    <t xml:space="preserve">Konkurs  (1.2.1)
(1 600 000,00 zł+ 1 300 000,00 zł)
I/2017, I/2018
</t>
  </si>
  <si>
    <t xml:space="preserve">Liczba operacji polegających na utrzymaniu lub utworzeniu nowych miejsc pracy lub utworzeniu nowego przedsiębiorstwa w branży produktów lub usług bazujących na specyfice obszaru. </t>
  </si>
  <si>
    <t xml:space="preserve">Osoby fizyczne lub prawne </t>
  </si>
  <si>
    <t xml:space="preserve">Konkurs (1.2.1)
(1 300 000,00 zł)
I/2017, I/2018
</t>
  </si>
  <si>
    <t>Liczba operacji polegających na wsparciu lub utworzeniu nowych miejsc pracy w ramach rozwiania lub podejmowaniu działalności.  .</t>
  </si>
  <si>
    <t xml:space="preserve">Aktywizacja 
(ryczałt)
Na bieżąco 
</t>
  </si>
  <si>
    <t xml:space="preserve">Liczba osobodni szkoleń dla podmiotów w tym m.in:  szkolenia z przeciwdziałania zamianom klimatu, promocji, przygotowania wniosków) </t>
  </si>
  <si>
    <t xml:space="preserve">P 1.2.2
Wsparcie usług i produktów lokalnych, przyczyniających się do zachowania specyfiki obszaru
</t>
  </si>
  <si>
    <t>Rolnicy, osoby fizyczne</t>
  </si>
  <si>
    <t xml:space="preserve">Konkurs (1.2.2)
PREMIA
(800 000,00 zł)
II/2016, II/2017
</t>
  </si>
  <si>
    <t>Liczba operacji polegających na utworzeniu nowego przedsiębiorstwa w branży produktów i usług lokalnych</t>
  </si>
  <si>
    <t>1.1</t>
  </si>
  <si>
    <t>Liczba ofert na stronie www.dbpoleca.barycz.pl w branży produktó i usług lokalnych lub bazujących na specyfice obszaru</t>
  </si>
  <si>
    <t xml:space="preserve">Dane LGD, licznik ofert na stronie </t>
  </si>
  <si>
    <t>Przedsiębiorcy</t>
  </si>
  <si>
    <t xml:space="preserve">Konkurs (1.2.2)
Rozwijanie działalności 
(2 300 000,00 zł) 
II/2016, II/2017
</t>
  </si>
  <si>
    <t>Liczba operacji polegających na rozwoju istniejącego przedsiębiorstwa w branży produktów i usług lokalnych</t>
  </si>
  <si>
    <t>1.2</t>
  </si>
  <si>
    <t>Rolnicy, osoby fizyczne, przedsiębiorcy, osoby prawne</t>
  </si>
  <si>
    <t>Konkurs (1.2.2)
Inkubator
500 00000 zł
II/2017</t>
  </si>
  <si>
    <t>Liczba nowych inkubatorów</t>
  </si>
  <si>
    <t>1.9</t>
  </si>
  <si>
    <t xml:space="preserve">Rolnicy, przedsiębiorcy, osoby fizyczne, grupy defaworyzowane. </t>
  </si>
  <si>
    <t xml:space="preserve">Aktywizacja
(ryczałt) 
na bieżąco 
</t>
  </si>
  <si>
    <t xml:space="preserve">Liczba osobodni szkoleń dla podmiotów w tym m.in: szkolenia z przeciwdziałania zamianom klimatu, promocji, przygotowania wniosków) </t>
  </si>
  <si>
    <t>Rejestr uczestników szkoleń, rejestr zaświadczeń i certyfikatów.</t>
  </si>
  <si>
    <t xml:space="preserve">Wzrost korzystających z oferty noclegowej do 2023 r. o 2% co roku w stosunku do roku poprzedniego od 2014 r. </t>
  </si>
  <si>
    <t>Dane GUS, dane z narzędzi monitoringu ruchu turystycznego (aplikacja mobilna)</t>
  </si>
  <si>
    <t>Liczba podmiotów korzystających z infrastruktury inkubatora rocznie</t>
  </si>
  <si>
    <t>1.11</t>
  </si>
  <si>
    <t>Dane LGD z monitoringu, sprawozdanie beneficjenta</t>
  </si>
  <si>
    <t>Zwiększenie liczby podmiotów prowadzących działalność gospodarczą do 2023 r. o 1 % w stosunku do 2014 r.</t>
  </si>
  <si>
    <t>Dane z GUS</t>
  </si>
  <si>
    <t xml:space="preserve">Liczba utrzymanych lub  utworzonych miejsc pracy w innych branżach </t>
  </si>
  <si>
    <t xml:space="preserve">P 1.2.3
Wsparcie aktywności gospodarczej mieszkańców
</t>
  </si>
  <si>
    <t>Osoby fizyczne</t>
  </si>
  <si>
    <t xml:space="preserve">Konkurs (1.2.3)
PREMIA
(1 100 000,00 zł)
II/2016, II/2017, 
</t>
  </si>
  <si>
    <t>Liczba operacji polegających na utworzeniu nowego przedsiębiorstwa</t>
  </si>
  <si>
    <t xml:space="preserve">Konkurs (1.2.3)
ROZWJANIE
(1 800 000,00 zł)
II/2016, II/2017
</t>
  </si>
  <si>
    <t>Liczba operacji polegających na rozwoju istniejącego przedsiębiorstwa</t>
  </si>
  <si>
    <t xml:space="preserve">Liczba osób przeszkolonych w zakresie tworzenia lub rozwijania miejsc pracy, w tym liczba osób z grup defaworyzowanych, deklarujących wzrost wiedzy na temat przeciwdziałania zmianom, promocji obszaru i umiejętności przygotowania wniosków.  </t>
  </si>
  <si>
    <t xml:space="preserve">Dane LGD- rejestr uczestników szkoleń, uczestnicy projektu współpracy. </t>
  </si>
  <si>
    <t>osoby fizyczne, pracownicy biura LGD.</t>
  </si>
  <si>
    <t xml:space="preserve">Projekt współpracy
(Innowacje w aktywizacji dla przedsiębiorczości). 
 (10 000,00 zł) I/2018
</t>
  </si>
  <si>
    <t xml:space="preserve">Liczba projektów współpracy. </t>
  </si>
  <si>
    <t xml:space="preserve">Sprawozdanie LGD, liczba umów na projekt współpracy. </t>
  </si>
  <si>
    <t xml:space="preserve">Przedsiębiorcy, osoby fizyczne, grupy defaworyzowane.  </t>
  </si>
  <si>
    <t xml:space="preserve">Aktywizacja (ryczałt). </t>
  </si>
  <si>
    <t xml:space="preserve">Liczba osobodni szkoleń dla podmiotów w tym m.in: szkolenia z przeciwdziałania zmianom klimatu, promocji, przygotowania wniosków. </t>
  </si>
  <si>
    <t>CO 2 Wzmocnienie rozpoznawalności i potencjału Doliny Baryczy</t>
  </si>
  <si>
    <t>CS 2.1 Wzrost aktywności i świadomości specyfiki obszaru wśród mieszkańców</t>
  </si>
  <si>
    <r>
      <t xml:space="preserve">Liczba osób przeszkolonych, które uczestniczyły w ofercie powstałej w wyniku realizacji szkoleń (zajęć edukacyjnych) w ramach grantów </t>
    </r>
    <r>
      <rPr>
        <b/>
        <sz val="10"/>
        <color theme="1"/>
        <rFont val="Times New Roman"/>
        <family val="1"/>
        <charset val="238"/>
      </rPr>
      <t>Edukacja dla Doliny Baryczy</t>
    </r>
  </si>
  <si>
    <t>2.2</t>
  </si>
  <si>
    <t>osoby</t>
  </si>
  <si>
    <t>Dane LGDz monitoringu, sprawozdania grantbiorców, dane z monitoringu serwis edukacja.barycz.pl</t>
  </si>
  <si>
    <t xml:space="preserve">P 2.1.1
Wsparcie kompetencji i organizacji potencjału społecznego na rzecz zachowania specyfiki obszaru.
</t>
  </si>
  <si>
    <t xml:space="preserve">NGO, mieszkańcy, JSFP </t>
  </si>
  <si>
    <t xml:space="preserve">Projekt grantowy 
Edukacja dla Doliny Baryczy edycja I, I/2018
(160 000,00 zł)  
edycja II, I/2020
(160 000,00 zł) 
</t>
  </si>
  <si>
    <t>Liczba szkoleń (zajęć edukacyjnych) w ramach grantów w zakresie wzmoznienia kapitału społecznego i specyfiki obszaru</t>
  </si>
  <si>
    <t>2.1</t>
  </si>
  <si>
    <t xml:space="preserve">Sprawozdanie LGD, sprawozdania grantobiorców raport  ze strony edukacja barycz.pl </t>
  </si>
  <si>
    <t>Liczba projektów współpracy skierowanych do określonych grup odbiorców</t>
  </si>
  <si>
    <t>3.4</t>
  </si>
  <si>
    <t>Sprawozdania LGD, lista uczestników</t>
  </si>
  <si>
    <t>Mieszkańcy, NGO.</t>
  </si>
  <si>
    <t xml:space="preserve">Projekt współpracy
Edukacja dla obszaru 
I/2019 z puli dodatkowych 3% 
</t>
  </si>
  <si>
    <t>Liczba zrealizowanych projektów współpracy</t>
  </si>
  <si>
    <t>3.2</t>
  </si>
  <si>
    <t xml:space="preserve">projekt </t>
  </si>
  <si>
    <t>Sprawozdanie LGD.</t>
  </si>
  <si>
    <t xml:space="preserve"> Mieszkańcy, NGO.</t>
  </si>
  <si>
    <t xml:space="preserve">Aktywizacja 
(ryczałt) 
</t>
  </si>
  <si>
    <t>Liczba osobodni szkoleń dla podmiotów w tym m.in: szkolenia z przeciwdziałania zamianom klimatu, promocji, przygotowania i rozliczenia grantów.</t>
  </si>
  <si>
    <t>Ilość osób korzystających z rozwiniętej  infrastruktury rekreacyjnej, kulturalnej lub drogowej</t>
  </si>
  <si>
    <t>1.13</t>
  </si>
  <si>
    <t>osoba</t>
  </si>
  <si>
    <t>Sprawowania beneficjentów, dane LGD z monitornigu, dane statystyczne- liczba mieszkańców miejscowości, w których realizowana była operacja</t>
  </si>
  <si>
    <t xml:space="preserve">P 2.1.2
Tworzenie przestrzeni do podnoszenia kompetencji i organizacji atrakcyjnych form spędzania wolnego czasu
</t>
  </si>
  <si>
    <t>Mieszkańcy, NGO, JSFP</t>
  </si>
  <si>
    <t xml:space="preserve">Konkurs (2.1.2)
(1 845 664,55 zł) 
I/2017
118 771,63 zł II/2017
</t>
  </si>
  <si>
    <t>Liczba operacji polegających na rozwoju obiektów ogólnodostępnej,  niekomercyjnej infrastruktury rekreacyjnej, kulturalnej lub dróg ublicznych</t>
  </si>
  <si>
    <t>2.4; 2.5</t>
  </si>
  <si>
    <t>Długość wybudowanych lub przebudowanych dróg publicznych</t>
  </si>
  <si>
    <t>1.12</t>
  </si>
  <si>
    <t>km</t>
  </si>
  <si>
    <r>
      <t xml:space="preserve">Liczba osób- odbiorców działań realizowanych z wykorzystaniem wyposażenia miejsc mających na celu szrzenie lokalnej kultury i dziedzictwa lokalnego w ramach grantu </t>
    </r>
    <r>
      <rPr>
        <b/>
        <sz val="10"/>
        <color theme="1"/>
        <rFont val="Times New Roman"/>
        <family val="1"/>
        <charset val="238"/>
      </rPr>
      <t>Działaj dla Doliny Baryczy</t>
    </r>
  </si>
  <si>
    <t xml:space="preserve">dane statystyczne -liczba mieszkańców miejscowości, w których realizowany był grant </t>
  </si>
  <si>
    <t xml:space="preserve">Projekt grantowy 
Działaj dla Doliny Baryczy 
edycja I , II/2018
(150 000,00 zł) 
edycja II , II/2020
(150 000,00 zł)
</t>
  </si>
  <si>
    <t>Liczba operacji (grantów) w zakresie wyposażenia miejsca majcego na celu szerzenie lokalnej kultury i dziedzictwa lokalnego</t>
  </si>
  <si>
    <t>2.10</t>
  </si>
  <si>
    <t>Liczba osób przeszkolonych w zakresie realizacji projektów grantowych, w tym liczba osób z grup defaworyzowanych objętych wsparciem.</t>
  </si>
  <si>
    <t>Dane LGD- rejestr uczestników szkoleń, uczestnicy projektu współpracy.</t>
  </si>
  <si>
    <t xml:space="preserve">Mieszkańcy, NGO </t>
  </si>
  <si>
    <t>Liczba osobodni szkoleń dla podmiotów w tym m.in: promocji, przygotowania i rozliczenia grantów.</t>
  </si>
  <si>
    <t xml:space="preserve">szt. </t>
  </si>
  <si>
    <t xml:space="preserve">Liczba osób, które wzięły udział w działaniach związanych z realizacja operacji własnej LGD.  </t>
  </si>
  <si>
    <t>Sprawozdania beneficjentów, dane LGD, raport edukacja barycz.pl.</t>
  </si>
  <si>
    <t xml:space="preserve">LGD, mieszkańcy, NGO, podmioty publiczne. </t>
  </si>
  <si>
    <t xml:space="preserve">Projekt własny
Inkubator współpracy trójsektorowej. 
(11 000,00 zł) , II/2020 
</t>
  </si>
  <si>
    <t xml:space="preserve">Liczba projektów własnych. </t>
  </si>
  <si>
    <t>Sprawozdanie LGD, rejestr uczestników.</t>
  </si>
  <si>
    <t xml:space="preserve">Wzrost liczby osób korzystających z oferty edukacji regionalnej i przyrodniczej, w tym związanej z przeciwdziałaniem zmianom klimatu (zajęcia lekcyjne, zajęcia w ośrodkach edukacji pozaszkolnej) w Dolinie Baryczy do 2023 r. o średnio 5% co roku w stosunku do roku poprzedniego od 2015 r. począwszy </t>
  </si>
  <si>
    <t xml:space="preserve">Dane LGD, raport z portalu www.edukacja barycz.pl, licznik </t>
  </si>
  <si>
    <r>
      <t xml:space="preserve">Liczbaodbiorców działań realizowanych z wykorzystaniem obiektów lub wyposażenia miejsc w ramach grantów </t>
    </r>
    <r>
      <rPr>
        <b/>
        <sz val="10"/>
        <color theme="1"/>
        <rFont val="Times New Roman"/>
        <family val="1"/>
        <charset val="238"/>
      </rPr>
      <t>Ryba wpływa na...</t>
    </r>
  </si>
  <si>
    <t>Sprawozdania beneficjentów, dane LGD z monitoringu, dane statystyczne- lczba mieszkańców miejscowości, w których realizowane były granty</t>
  </si>
  <si>
    <t xml:space="preserve">P 2.1.3
Wzrost wiedzy i integracja społeczna mieszkańców poprzez wykorzystanie rybackiego dziedzictwa kulturowego
</t>
  </si>
  <si>
    <t>LGD, odmioty prawa publicznego, instytuty badawcze, uczelnie, NGO</t>
  </si>
  <si>
    <t xml:space="preserve">Projekt grantowy 
Ryba wpływa na ….w Dolinie Baryczy 
edycja I , I/2019
(150 000,00 zł) max 50 tys.
edycja II, I/2021
(150 000,00 zł) , max 50 tys.
</t>
  </si>
  <si>
    <t>Liczba operacji (grantów) w zakresie rozbudowy lub wyposażenia mającego na celu zwiększenia zaangażowania w zarządzanie lokalnymi zasobami, promocje obszaru.</t>
  </si>
  <si>
    <t>Sprawozdanie LGD, sprawozdania grantobiorców</t>
  </si>
  <si>
    <t xml:space="preserve">Liczba osób zaangażowanych w realizację projektów współpracy. </t>
  </si>
  <si>
    <t>LGD</t>
  </si>
  <si>
    <t xml:space="preserve">Projekt współpracy w zakresie wspieranie dialogu społecznego i udziału lokalnych społeczności w badaniu zasobów rybołówstwa i zarządzaniu tymi zasobami .
 (216  000,00 zł), II/2017/ II/2020
</t>
  </si>
  <si>
    <t>Liczba projektów współpracy</t>
  </si>
  <si>
    <t>Sprawozdanie LGD, umowa projektów współpracy/</t>
  </si>
  <si>
    <t>Liczba zainteresowanych wydarzeniami i korzystających ze strony www.dnikarpia.barycz.pl  w każdej edycji</t>
  </si>
  <si>
    <t>odsłona</t>
  </si>
  <si>
    <t>Ilość</t>
  </si>
  <si>
    <t>LGD, rybacy, mieszańcy.</t>
  </si>
  <si>
    <t xml:space="preserve">Projekt własny
Dni Karpia w Dolinie Baryczy. 
6 edycji:  I/2017, I/2018, I/2019, I/2020, I/2021, I/2022
6 x (45 000, 00 zł) 
</t>
  </si>
  <si>
    <t>Liczba wydarzeń- edycji Dni Karpia w Dolinie Baryczy, związanych z promocją obszaru</t>
  </si>
  <si>
    <t>Sprawozdanie LGD, rejestr edycji na stronie www.dnikarpia.barycz.pl.</t>
  </si>
  <si>
    <t>Wzrost odsetka osób (mieszkańców oraz turystów) uznających ofertę (rybacką kulturalną, gastronomiczną, turystyczną, edukacyjną) Doliny Baryczy za atrakcyjną do 2023 r. o 3%  w stosunku do 2015 r.</t>
  </si>
  <si>
    <t xml:space="preserve">Badania LGD, ankieta – kontynuacja badań, ankieta elektroniczna na 
www.dnikarpia.barycz.pl, www.nasza barycz.pl 
</t>
  </si>
  <si>
    <t>CS 2.2 Rozwój kompleksowej i atrakcyjnej oferty obszaru</t>
  </si>
  <si>
    <t>Liczba zarejestrowanych podmiotów  realizujących program Edukacja dla Doliny Baryczy oraz użytkowników i kandydatów do znaku Dolina Baryczy Poleca na serwisach edukacja.barycz.pl i dbpoleca.barycz.pl w każdej edycji</t>
  </si>
  <si>
    <t xml:space="preserve">Dane LGD, rejestr odwiedzin. </t>
  </si>
  <si>
    <t xml:space="preserve">P 2.2.1
Spójna i widoczna oferta turystyczna Doliny  Baryczy   
</t>
  </si>
  <si>
    <t>Przedsiębiorcy, podmioty publiczne, mieszkańcy , turyści, LGD</t>
  </si>
  <si>
    <t xml:space="preserve">Projekty własne 
Zarządzanie markami Dolina Baryczy Poleca, Edukacja dla Doliny Baryczy 
6 edycji: II/2017 x 2 , II/2018, II/2019, II/2020, II/2021
6x ( 43 000,00zł) 
</t>
  </si>
  <si>
    <t>Liczba wspartych wydarzeń- edycji konkursu Dolina Baryczy Poleca i edycji programu Edukacja dla Doliny Baryczy</t>
  </si>
  <si>
    <t>2.12</t>
  </si>
  <si>
    <t>Sprawozdanie LGD,  rejestr edycja na stronie www.dbpoleca.barycz.pl; www.edukacja.barycz.pl</t>
  </si>
  <si>
    <t>Liczba operacji ukierunkowanych na innowacje związanych z sytemem Dolina Baryczy Poleca lub programem Edukacja dla Doliny Baryczy</t>
  </si>
  <si>
    <t>2.13</t>
  </si>
  <si>
    <t>Liczba projektów współpracy wykorzystujacych lokalne zasoby</t>
  </si>
  <si>
    <t>3.3</t>
  </si>
  <si>
    <t>Dane LGD, rejestr uczestników szkoleń, uczestnicy projektu współpracy.</t>
  </si>
  <si>
    <t>Producenci i usługodawcy, mieszkańcy  turyści LGD</t>
  </si>
  <si>
    <t xml:space="preserve">Projekt współpracy 
Marka lokalna – szansą na promocję- obszaru, Innowacje w aktywizacji dla przedsiębiorczości
(220 000,00 zł) , I/2017, I/2018
</t>
  </si>
  <si>
    <t xml:space="preserve">Liczba projektów współpracy </t>
  </si>
  <si>
    <t>Sprawozdanie LGD
Umowa współpracy</t>
  </si>
  <si>
    <t xml:space="preserve">Projekt współpracy 
Koszyk Dolnośląskich smaków 
(I/2020 z puli dodatkowych 3% 
</t>
  </si>
  <si>
    <t>Liczba projektów współpracy w zakresie promocji oferty obszaru</t>
  </si>
  <si>
    <t xml:space="preserve">Liczba osób korzystających z rozwiniętej infrastrktury turystycznej, rekeracyjnej lub drogowej. </t>
  </si>
  <si>
    <t>Dane statystyczne -liczba mieszkańców miejscowości, w których realizowana była operacja (ewaluacja co roku przez okres trwałości projektu)</t>
  </si>
  <si>
    <t xml:space="preserve">P 2.2.2
Zachowanie, zwiększenie dostępności i atrakcyjności miejsc związanych ze specyfika obszaru   
</t>
  </si>
  <si>
    <t>NGO, JSFP</t>
  </si>
  <si>
    <t xml:space="preserve">Konkurs (2.2.2) – infrastruktura  rekreacyjna, kulturalna  lub drogi publiczne. 
(1 377 793,82 zł ) I/2017 
237 770,00 zł II/2017
</t>
  </si>
  <si>
    <t>Liczba operacji polegających na rozwoju obiektów ogólnodostępnej,  niekomercyjnej infrastruktury turystycznej, rekreacyjnej lub dróg publicznych</t>
  </si>
  <si>
    <t xml:space="preserve">Ilość wejść na strony poświęcone turystyce w Dolinie Baryczy od roku 2016 rocznie
</t>
  </si>
  <si>
    <t>Dane LGD, rejestr odwiedzin na stronach:
kolorwyszlakkarpia.barycz.pl,
dnikarpia.barycz.pl,
nasza.barycz.pl, 
dbpoleca.barycz.pl</t>
  </si>
  <si>
    <t xml:space="preserve">Projekt własny 
Szlaki turystyczne wizytówką obszaru – konno i rowerem po Dolinie Baryczy. 
(42 000, 00 zł), II-2018
</t>
  </si>
  <si>
    <t>Długość zmodernizowanych ścieżek rwerowych i szlaków turystycznych</t>
  </si>
  <si>
    <t>2.8</t>
  </si>
  <si>
    <t xml:space="preserve">Liczba utworzonych miejsc pracy związanych z ofertą turystyczną świadczoną przez podmioty publiczne lub NGO  </t>
  </si>
  <si>
    <t xml:space="preserve">P 2.2.3
Wzmocnienie rybackiego potencjału obszaru poprzez rozwój infrastruktury turystycznej i rekreacyjnej
</t>
  </si>
  <si>
    <t>Podmioty publiczne, NGO</t>
  </si>
  <si>
    <t xml:space="preserve">Konkurs (2.2.3) – infrastruktura turystyczna,  rekreacyjna 
 (1 798 905,00   zł)
I/2017  
 733 931,11 zł    II/2017
</t>
  </si>
  <si>
    <t>Liczba operacji związanych z  udostepnieniem dziedzictwa kulturowego, turystycznego i rekreacyjnego w  powiązaniu z powstaniem  miejsca pracy</t>
  </si>
  <si>
    <t>Podmioty publiczne</t>
  </si>
  <si>
    <t xml:space="preserve">Konkurs (2.2.3) - 
(2 051 163,89zł)
I/2017  
</t>
  </si>
  <si>
    <t>Liczba operacji związanych z  udostepnieniem oferty turystycznej obszaru, dziedzictwa kulturowego, i rekreacyjnego .</t>
  </si>
  <si>
    <t xml:space="preserve">Projekt własny 
Szlaki turystyczne wizytówką obszaru – kajakiem i pieszo po Dolinie Baryczy. 
(30 000,00 zł), II-2020 
</t>
  </si>
  <si>
    <t>Długość przebudowanych/zmodernizowanych szlaków turystycznych</t>
  </si>
  <si>
    <t>Należy wskazać cele, przedsięwzięcia i wskaźniki realizacji LSR, z uwzględnieniem logiki powiązań pomiędzy tymi elementami (matryca logiczna).</t>
  </si>
  <si>
    <t>Każdy cel szczegółowy oraz każde przedsięwzięcie powinny zostać przyporządkowane do jednego celu ogólnego. Przyporządkowanie przedsięwzięć do celów ogólnych i szczegółowych powinno być zgodne z przyporządkowaniem dokonanym w arkuszu "Finansowy postęp".</t>
  </si>
  <si>
    <t>LGD powinna dokonać analizy treści swoich matryc logicznych/planów działania celem identyfikacji wskaźników, które można zastąpić nowym brzmieniem wskazanym w arkuszu "Wskaźniki obowiązkowe PROW". Dlatego też martycę logiczną należy wypełniać w powiązaniu z arkuszem "Wskaźniki obowiązkowe PROW". Dla zidentyfikowanego wskaźnika produktu i rezultatu w matrycy logicznej należy przypisać kod wskaźnika z arkusza "Wskaźniki obowiązkowe PROW", przypisany do poszczególnych wskaźników (o ile dany wskaźnik obowiązkowy jest adekwatny do danej LSR).</t>
  </si>
  <si>
    <t>Dane w kolumnach „Stan początkowy” oraz „Stan docelowy” należy wypełnić zgodnie z danymi w lokalnej strategii rozwoju.</t>
  </si>
  <si>
    <r>
      <rPr>
        <b/>
        <sz val="10"/>
        <color theme="1"/>
        <rFont val="Calibri"/>
        <family val="2"/>
        <charset val="238"/>
        <scheme val="minor"/>
      </rPr>
      <t>W przypadku PROW 2014 – 2020</t>
    </r>
    <r>
      <rPr>
        <sz val="10"/>
        <color theme="1"/>
        <rFont val="Calibri"/>
        <family val="2"/>
        <charset val="238"/>
        <scheme val="minor"/>
      </rPr>
      <t xml:space="preserve">:  Dane w kolumnie „Realizacja” w odniesieniu do wskaźników rezultatu oraz kolumnie „Realizacja P” w odniesieniu do wskaźników produktu dla poddziałania 19.2 oraz 19.3 należy podać narastająco i powinny obejmować wyłącznie informacje dotyczące operacji zakończonych, dla których płatność końcowa/druga transza (dotyczy premii na podejmowanie działalności gospodarczej) została wypłacona beneficjentowi, w przypadku poddziałania 19.4 dane nalezy podać dla operacji trwających, dla których dokonano płatności przynajmniej jednej transzy. </t>
    </r>
  </si>
  <si>
    <t>Dane w kolumnie „Realizacja U” w odniesieniu do wskaźników produktu należy podać narastająco i powinny obejmować wyłącznie informacje dotyczące operacji w odniesieniu do których zawarto umowy o przyznaniu pomocy, uwzględniając ewentualne zmiany tych umów (aneksy umowy o przyznaniu pomocy). Dane nie powinny obejmować informacji z rozwiązanych umów przyznania pomocy.</t>
  </si>
  <si>
    <t>Budżet</t>
  </si>
  <si>
    <t xml:space="preserve">Liczba wspartych lub nowo utworzonych miejsc pracy w podmiocie rybackim  Lub podmiocie realizującym zadania służce przeciwdziałaniu skutkom zmian klimatu. </t>
  </si>
  <si>
    <t>Osoby fizyczne lub prawne y w tym z grupy defaworyzowanej</t>
  </si>
  <si>
    <t xml:space="preserve">Liczba operacji polegających na wsparciu miejsca pracy w podmiocie  rybackim lub podmiocie realizującym zadania służce przeciwdziałaniu skutkom zmiany klimatu  </t>
  </si>
  <si>
    <t xml:space="preserve"> Osoby fizyczne lub prawne</t>
  </si>
  <si>
    <t xml:space="preserve">Liczba wspartych lub utworzonych miejsc pracy w łańcuchu dostaw. </t>
  </si>
  <si>
    <t xml:space="preserve">Osoby fizyczne lub prawne w łańcuchu dostaw produktów rybactwa.   w tym grupy defaworyzowane, </t>
  </si>
  <si>
    <t xml:space="preserve">Liczba operacji polegających na wsparciu miejsca pracy lub utworzeniu. nowego  miejsca pracy w ramach istniejącego podmiot lub utworzeniu nowego   przedsiębiorstwa w łańcuchu dostaw. </t>
  </si>
  <si>
    <t xml:space="preserve">Wzrost rozpoznawalności oferty z Doliny Baryczy poprzez ilość wejść na stronę www.dbpoleca.barycz.pl, www edukacja.barycz.pl do 2023  o 5% co roku w stosunku do roku poprzedniego od 2015 r. począwszy </t>
  </si>
  <si>
    <t xml:space="preserve">Liczba wspartych lub utworzonych miejsc pracy w branży produktów i usług lokalnych, w tym z branży rybackiej. </t>
  </si>
  <si>
    <t xml:space="preserve">Konkurs  (1.2.1)
(1 600 000,00 zł)
I/2017, I/2018
</t>
  </si>
  <si>
    <t xml:space="preserve">Liczba operacji polegających na wsparciu lub utworzeniu nowych miejsc pracy w ramach rozwiania innej niż rybacka oferty podmiotu rybackiego.   </t>
  </si>
  <si>
    <t>Rolnicy, osoby fizyczne, grupy defaworyzowane.</t>
  </si>
  <si>
    <t xml:space="preserve">Konkurs (1.2.2)
Samozatrudnienie w tym w ramach  inkubatora
(1 800 000,00 zł)
II/2016, II/2017
</t>
  </si>
  <si>
    <t xml:space="preserve">Liczba operacji polegających na utworzeniu nowego miejsca pracy </t>
  </si>
  <si>
    <t>Liczba ofert na stronie www.dbpoleca.barycz.pl.</t>
  </si>
  <si>
    <t>Przedsiębiorcy,  grupy defaworyzowane.</t>
  </si>
  <si>
    <t xml:space="preserve">Konkurs (1.2.2)
Rozwijanie działalności 
(1 800 000,00 zł) 
II/2016, II/2017
</t>
  </si>
  <si>
    <t xml:space="preserve">Liczba operacji polegających na rozwoju istniejącego przedsiębiorstwa. utworzeniu dodatkowego miejsca pracy. </t>
  </si>
  <si>
    <t xml:space="preserve">Liczba wspartych lub  utworzonych miejsc pracy w innych branżach </t>
  </si>
  <si>
    <t>Osoby fizyczne, grupy defaworyzowane.</t>
  </si>
  <si>
    <t xml:space="preserve">Konkurs (1.2.3)
(1 100 000,00 zł)
II/2016, II/2017, 
</t>
  </si>
  <si>
    <t>Liczba operacji polegających na utworzeniu nowego miejsca pracy, działalności gospodarczej.</t>
  </si>
  <si>
    <t>Przedsiębiorcy, grupy defaworyzowane,</t>
  </si>
  <si>
    <t xml:space="preserve">Konkurs (1.2.3) (1 800 000,00 zł)
II/2016, II/2017, II/2018
</t>
  </si>
  <si>
    <t>Liczba operacji polegających na rozwoju istniejącego przedsiębiorstwa, utworzeniu dodatkowego miejsca pracy</t>
  </si>
  <si>
    <t>Dane GUS</t>
  </si>
  <si>
    <t xml:space="preserve">NGO, mieszkańcy, grupy defaworyzowane.    </t>
  </si>
  <si>
    <t xml:space="preserve">Projekt grantowy 
Edukacja dla Doliny Baryczy edycja I, I/2018
(160 000,00 zł)  max. 8 tys.
edycja II, I/2020
(160 000,00 zł) max. 8 tys
</t>
  </si>
  <si>
    <t xml:space="preserve">Liczba grantów w zakresie wzmocnienia kapitału społecznego i specyfiki obszaru. </t>
  </si>
  <si>
    <t>grant</t>
  </si>
  <si>
    <r>
      <t>Liczba zarejestrowanych podmiotów na serwisie www.edukacja.barycz.p</t>
    </r>
    <r>
      <rPr>
        <sz val="10"/>
        <color rgb="FFFF0000"/>
        <rFont val="Times New Roman"/>
        <family val="1"/>
        <charset val="238"/>
      </rPr>
      <t xml:space="preserve">l i www.dbpoleca.barycz.pl </t>
    </r>
  </si>
  <si>
    <t xml:space="preserve">Ilość osób zaangażowanych w powstawanie infrastruktury  kulturalnej , miejsc spotkań. </t>
  </si>
  <si>
    <t>Sprawowania beneficjentów, dane LGD</t>
  </si>
  <si>
    <t xml:space="preserve">Liczba operacji obejmujących budowę lub przebudowę ogólnodostępnej niekomercyjnej infrastruktury rekreacyjnej,  kulturalnej lub dróg publicznych . </t>
  </si>
  <si>
    <t xml:space="preserve">Liczba osób, które uczestniczyły w ofercie powstałej w wyniku realizacji grantów. </t>
  </si>
  <si>
    <t xml:space="preserve">Projekt grantowy 
Działaj dla Doliny Baryczy 
edycja I , II/2018
(150 000,00 zł) max 10 tyś
edycja II , II/2020
(150 000,00 zł) max 10 tyś
</t>
  </si>
  <si>
    <t>Liczba grantów w zakresie wzmocnienia kapitału społecznego, zachowanie dziedzictwa lokalnego, promocji obszaru</t>
  </si>
  <si>
    <t xml:space="preserve">Wzrost liczby osób korzystających z oferty edukacji regionalnej i przyrodniczej, w tym związanej z przeciwdziałaniem zmianom klimatu (zajęcia lekcyjne, zajęcia w ośrodkach edukacji pozaszkolnej) w Dolinie Baryczy do 2023 r. o 5% co roku w stosunku do roku poprzedniego od 2015 r. począwszy </t>
  </si>
  <si>
    <t>Liczba grantów w zakresie społecznej integracji mieszkańców, zwiększenia zaangażowania w zarzadzanie lokalnymi zasobami, promocji obszaru.</t>
  </si>
  <si>
    <t>LGD Rybacy, podmioty publiczne.</t>
  </si>
  <si>
    <t>Liczba ofert wydarzeń w ramach Dni Karpia w Dolinie Baryczy w każdej edycji - 2017-2022.</t>
  </si>
  <si>
    <t xml:space="preserve">Sprawozdania beneficjentów, dane LGD. </t>
  </si>
  <si>
    <t>LGD, rybacy mieszańcy.</t>
  </si>
  <si>
    <t>Liczba edycji Dni Karpia w Dolinie Baryczy, związanych z promocją obszaru</t>
  </si>
  <si>
    <t>Wzrost odsetka osób (mieszkańców oraz turystów ośrodków docelowych promocji obszaru) uznających ofertę (rybacką kulturalną, gastronomiczną, turystyczną, edukacyjną) Doliny Baryczy za atrakcyjną do 2023 r. o 3%  w stosunku do 2015 r.</t>
  </si>
  <si>
    <t xml:space="preserve">Ilość wejść na strony poświęcone turystyce 
www.naszabarycz.pl/ mapa interaktywna Doliny Baryczy, www.dnikarpia.barycz.pl od roku 2016 / rocznie 
</t>
  </si>
  <si>
    <t>Liczba edycji konkursu Dolina Baryczy Poleca i edycji programu Edukacja dla Doliny Baryczy</t>
  </si>
  <si>
    <t xml:space="preserve">Liczba osób uczestniczących w projektach współpracy. </t>
  </si>
  <si>
    <t xml:space="preserve">Projekt współpracy 
Marka lokalna – szansą na promocję- obszaru.
(210 000,00 zł) , I/2017
</t>
  </si>
  <si>
    <t>Liczba projektów współpracy międzynarodowej w zakresie promocji oferty obszaru</t>
  </si>
  <si>
    <t xml:space="preserve">Liczba osób korzystających z nowo wybudowanej oferty turystycznej do końca 2022 r. </t>
  </si>
  <si>
    <t>Badania, ankieta, dane od usługodawców</t>
  </si>
  <si>
    <t>NGO, mieszkańcy, turyści,  grupy defaworyzowane, JSFP</t>
  </si>
  <si>
    <t>Liczba operacji polegających na budowie lub przebudowie  ogólnodostępnej i niekomercyjnej infrastruktury turystycznej,  rekreacyjnej, lub dróg publicznych</t>
  </si>
  <si>
    <t>Mieszkańcy turyści, przedsiębiorcy, LGD.</t>
  </si>
  <si>
    <t xml:space="preserve">Projekt własny 
Szlaki turystyczne wizytówką obszaru – konno i rowerem po Dolinie Baryczy. 
(31 000, 00 zł), II-2018
</t>
  </si>
  <si>
    <t>Liczba operacji własnych.</t>
  </si>
  <si>
    <t>Liczba operacji związanych z  udostepnieniem dziedzictwa kulturowego, turystycznego i rekreacyjnego w  powiązaniu z powstaniem  miejsca pracy ( min.  6)</t>
  </si>
  <si>
    <t xml:space="preserve">Badania, ankieta, dane od usługodawców. </t>
  </si>
  <si>
    <t>Mieszkańcy  turyści, przedsiębiorcy LGD.</t>
  </si>
  <si>
    <t>Liczba operacji polegających na utrzymaniu lub utworzeniu miejsca pracy lub utworzeniu nowego przedsiębiorstwa w łańcuchu dostaw</t>
  </si>
  <si>
    <t>19.2</t>
  </si>
  <si>
    <t xml:space="preserve">Konkurs (1.2.3)
PREMIA
(1 100 000,00 zł)
II/2016, II/2017
</t>
  </si>
  <si>
    <t>19.3</t>
  </si>
  <si>
    <t>Liczba ofert na stronie www.dbpoleca.barycz.pl w branży produktów i usług lokalnych lub bazujących na specyfice obszaru</t>
  </si>
  <si>
    <t>-</t>
  </si>
  <si>
    <t>1.3; 1.4; Liczba utworzonych miejsc pracy/ Liczba utrzymanych miejsc pracy/Liczba utworzonych przedsiębiorstw</t>
  </si>
  <si>
    <t>Liczba operacji polegających na rozwoju obiektów ogólnodostępnej,  niekomercyjnej infrastruktury rekreacyjnej, kulturalnej lub dróg publicznych</t>
  </si>
  <si>
    <t>Liczba utworzonych miejsc pracy</t>
  </si>
  <si>
    <t xml:space="preserve">Liczba utrzymanych miejsc pracy w podmiocie rybackim </t>
  </si>
  <si>
    <t>Liczba utrzymanych miejsc pracy</t>
  </si>
  <si>
    <t xml:space="preserve">Liczba operacji polegających na utrzymaniu miejsca pracy w podmiocie  rybackim  </t>
  </si>
  <si>
    <t>Wartość wskaźnika produktu 2016-2018</t>
  </si>
  <si>
    <t>Wartość wskaźnika produktu 2019-2021</t>
  </si>
  <si>
    <t>Wartość wskaźnika produktu 2022-2023</t>
  </si>
  <si>
    <t>Stan docelowy (2016-2023)</t>
  </si>
  <si>
    <t>Stan początkowy wskaźnika produktu</t>
  </si>
  <si>
    <t xml:space="preserve">P 2.2.2
Zachowanie, zwiększenie dostępności i atrakcyjności miejsc związanych ze specyfiką obszaru   
</t>
  </si>
  <si>
    <t>Budżet 2016-2018 [zł]</t>
  </si>
  <si>
    <t>Budżet 2019-2021 [zł]</t>
  </si>
  <si>
    <t>Budżet 2022-2023 [zł]</t>
  </si>
  <si>
    <t>PLAN DZIAŁANIA</t>
  </si>
  <si>
    <t xml:space="preserve">Projekt współpracy w zakresie wspieranie dialogu społecznego i udziału lokalnych społeczności w badaniu zasobów rybołówstwa i zarządzaniu tymi zasobami .
(216  000,00 zł), II/2017/ II/2020
</t>
  </si>
  <si>
    <t>Budżet dla wskaźnika produktu [zł]</t>
  </si>
  <si>
    <t>Przedsięwzięcie BUDŻET</t>
  </si>
  <si>
    <t>Cel szczegółowy BUDŻET</t>
  </si>
  <si>
    <t>RAZEM</t>
  </si>
  <si>
    <t>EFRROW</t>
  </si>
  <si>
    <t>EFMR</t>
  </si>
  <si>
    <t>PREMIA</t>
  </si>
  <si>
    <t>ROZWIJANIE</t>
  </si>
  <si>
    <t>INKUBATOR</t>
  </si>
  <si>
    <t>ILOŚĆ</t>
  </si>
  <si>
    <t>JSFP</t>
  </si>
  <si>
    <t>BIZNES</t>
  </si>
  <si>
    <t>FUNDUSZ</t>
  </si>
  <si>
    <t>ZAKRES</t>
  </si>
  <si>
    <t>BUDŻET [zł]</t>
  </si>
  <si>
    <t>Liczba wspartych miejsc pracy, w tym:</t>
  </si>
  <si>
    <t>zł/szt.</t>
  </si>
  <si>
    <r>
      <t xml:space="preserve">Liczba osób przeszkolonych, które uczestniczyły w ofercie powstałej w wyniku realizacji szkoleń (zajęć edukacyjnych) w ramach grantów </t>
    </r>
    <r>
      <rPr>
        <b/>
        <sz val="10"/>
        <color theme="1"/>
        <rFont val="Calibri"/>
        <family val="2"/>
        <charset val="238"/>
        <scheme val="minor"/>
      </rPr>
      <t>Edukacja dla Doliny Baryczy</t>
    </r>
  </si>
  <si>
    <t>Budżet ze wskazaniem źródła finansowania.</t>
  </si>
  <si>
    <t>Cel ogólny 1. Rozwój gospodarczy Doliny Baryczy służący zachowaniu specyfiki obszaru i polepszeniu jakości życia.</t>
  </si>
  <si>
    <t>EFROW</t>
  </si>
  <si>
    <t>EFR</t>
  </si>
  <si>
    <t>1.1 Rozwój gospodarczy Doliny Baryczy, służący zachowaniu specyfiki obszaru i polepszeniu jakości życia.</t>
  </si>
  <si>
    <t>1.1.1 Zachowanie rybackiego potencjału obszaru.</t>
  </si>
  <si>
    <t>1.1.2 Poprawa potencjału sprzedażowego przedsiębiorstw rybackich.</t>
  </si>
  <si>
    <t>1.2 Rozwój lokalnej przedsiębiorczości</t>
  </si>
  <si>
    <t>1.2.1 Wsparcie rybackiego charakteru obszaru.</t>
  </si>
  <si>
    <t>1.2.3 Wsparcie aktywności gospodarczej mieszkańców.</t>
  </si>
  <si>
    <t>Cel ogólny 2. Wzmocnienie rozpoznawalności i potencjału Doliny Baryczy.</t>
  </si>
  <si>
    <t>jest</t>
  </si>
  <si>
    <t>powinno być</t>
  </si>
  <si>
    <t>różnica</t>
  </si>
  <si>
    <t>2.1 Wzrost aktywności i świadomości specyfiki obszaru wśród mieszkańców.</t>
  </si>
  <si>
    <t>2.1.1 Wsparcie kompetencji i organizacji potencjału społecznego na rzecz zachowania specyfiki obszaru.</t>
  </si>
  <si>
    <t>2.1.2 Tworzenie przestrzeni do podnoszenia kompetencji i organizacji atrakcyjnych form spędzania wolnego czasu.</t>
  </si>
  <si>
    <t>2.1.3 Wzrost wiedzy i integracja społeczna mieszkańców poprzez wykorzystanie rybackiego dziedzictwa kulturowego.</t>
  </si>
  <si>
    <t xml:space="preserve"> 2.2 Rozwój kompleksowej i atrakcyjnej oferty obszaru. </t>
  </si>
  <si>
    <t xml:space="preserve">2.2.1 Spójna i widoczna oferta turystyczna Doliny Baryczy.  </t>
  </si>
  <si>
    <t xml:space="preserve">2.2.2 Zachowanie, zwiększenie dostępności i atrakcyjności miejsc związanych ze specyfiką obszaru. </t>
  </si>
  <si>
    <t>2.2.3 Infrastruktura turystyczna i rekreacyjna wzmacniająca rybacki potencjał obszaru.</t>
  </si>
  <si>
    <t>Fundusz</t>
  </si>
  <si>
    <t>Zakres</t>
  </si>
  <si>
    <t>Wartość</t>
  </si>
  <si>
    <t>Łączna ilość</t>
  </si>
  <si>
    <t>Kwota</t>
  </si>
  <si>
    <t xml:space="preserve">było </t>
  </si>
  <si>
    <t>EFROW (19.2)</t>
  </si>
  <si>
    <t>nowe</t>
  </si>
  <si>
    <t>rozwijane</t>
  </si>
  <si>
    <t>wsparte</t>
  </si>
  <si>
    <t>tworzone lub rozwijane -sektor gospodarczy</t>
  </si>
  <si>
    <t>Rozwijane lub tworzone -sektor publiczny</t>
  </si>
  <si>
    <t>Łącznie LSR</t>
  </si>
  <si>
    <t>poprawka</t>
  </si>
  <si>
    <t>poprawka II 2017</t>
  </si>
  <si>
    <t>rozwijane lub tworzone -sektor publiczny lub NGO</t>
  </si>
  <si>
    <t>poprawka VII 2017</t>
  </si>
  <si>
    <t>Wystarczy dołożyć 1 00 000 zł do gospodarczego, żeby % się zgadzał</t>
  </si>
  <si>
    <t xml:space="preserve">1.2.2 Wsparcie usług i produktów lokalnych  przyczyniających się do zachowania specyfiki obszaru. </t>
  </si>
  <si>
    <t>poprawka IX 2017</t>
  </si>
  <si>
    <t>Rozwijane lub tworzone -sektor publiczny, NGO</t>
  </si>
  <si>
    <t>Wsparte, tworzone lub nowe przedsiębiorstwa (sektor gospodarczy)</t>
  </si>
  <si>
    <t>% udział w środkach funduszu</t>
  </si>
  <si>
    <t>Liczba operacji polegających na utrzymaniu lub utworzeniu nowych miejsc pracy lub utworzeniu nowego przedsiębiorstwa w branży produktów i usług lokalnych lub innych branżach</t>
  </si>
  <si>
    <r>
      <t>Liczba szkoleń (zajęć edukacyjnych) w ramach grantów w zakresie wzmocnienia kapitału społecznego i specyfiki obszaru</t>
    </r>
    <r>
      <rPr>
        <b/>
        <sz val="10"/>
        <color theme="1"/>
        <rFont val="Calibri"/>
        <family val="2"/>
        <charset val="238"/>
        <scheme val="minor"/>
      </rPr>
      <t xml:space="preserve"> Edukacja dla Doliny Baryczy</t>
    </r>
  </si>
  <si>
    <r>
      <t xml:space="preserve">Liczba operacji (grantów) w zakresie wyposażenia miejsca mającego na celu szerzenie lokalnej kultury i dziedzictwa lokalnego </t>
    </r>
    <r>
      <rPr>
        <b/>
        <sz val="10"/>
        <color theme="1"/>
        <rFont val="Calibri"/>
        <family val="2"/>
        <charset val="238"/>
        <scheme val="minor"/>
      </rPr>
      <t>Działaj dla Doliny Baryczy</t>
    </r>
  </si>
  <si>
    <r>
      <t xml:space="preserve">Liczba operacji (grantów) w zakresie rozbudowy lub wyposażenia miejsca mającego na celu zwiększenie zaangażowania w zarządzanie lokalnymi zasobami, promocję obszaru </t>
    </r>
    <r>
      <rPr>
        <b/>
        <sz val="10"/>
        <color theme="1"/>
        <rFont val="Calibri"/>
        <family val="2"/>
        <charset val="238"/>
        <scheme val="minor"/>
      </rPr>
      <t>Ryba wpływa na… w Dolinie Baryczy</t>
    </r>
  </si>
  <si>
    <t>Liczba operacji związanych z  udostępnieniem oferty turystycznej obszaru, dziedzictwa kulturowego i rekreacyjnego</t>
  </si>
  <si>
    <t>Liczba operacji związanych z  udostępnieniem dziedzictwa kulturowego, turystycznego i rekreacyjnego w  powiązaniu z powstaniem  miejsca pracy</t>
  </si>
  <si>
    <t xml:space="preserve">Liczba utrzymanych lub utworzonych miejsc pracy lub nowych przedsiębiorstw w łańcuchu dostaw. </t>
  </si>
  <si>
    <r>
      <t xml:space="preserve">Liczba osób- odbiorców działań realizowanych z wykorzystaniem wyposażenia miejsc mających na celu szerzenie lokalnej kultury i dziedzictwa lokalnego w ramach grantu </t>
    </r>
    <r>
      <rPr>
        <b/>
        <sz val="10"/>
        <color theme="1"/>
        <rFont val="Calibri"/>
        <family val="2"/>
        <charset val="238"/>
        <scheme val="minor"/>
      </rPr>
      <t>Działaj dla Doliny Baryczy</t>
    </r>
  </si>
  <si>
    <r>
      <t xml:space="preserve">Liczba odbiorców działań realizowanych z wykorzystaniem obiektów lub wyposażenia miejsc w ramach grantów </t>
    </r>
    <r>
      <rPr>
        <b/>
        <sz val="10"/>
        <color theme="1"/>
        <rFont val="Calibri"/>
        <family val="2"/>
        <charset val="238"/>
        <scheme val="minor"/>
      </rPr>
      <t>Ryba wpływa na…w Dolinie Baryczy</t>
    </r>
  </si>
  <si>
    <t>Liczba projektów współpracy wykorzystujących lokalne zasoby</t>
  </si>
  <si>
    <t>Liczba zainteresowanych wydarzeniami i korzystających ze strony www.dnikarpia.barycz.pl  w każdej edycji w ramach Dni Karpia w Dolinie Baryczy w latach 2017-2022</t>
  </si>
  <si>
    <t xml:space="preserve">Specyfikacja wskaźników przypisanych do celów ogólnych, szczegółowych, przedsięwzięć wraz z uzasadnieniem, źródłem danych wraz z planem działania na lata 2016-2023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</si>
</sst>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#,##0\ &quot;zł&quot;;[Red]\-#,##0\ &quot;zł&quot;"/>
    <numFmt numFmtId="8" formatCode="#,##0.00\ &quot;zł&quot;;[Red]\-#,##0.00\ &quot;zł&quot;"/>
    <numFmt numFmtId="43" formatCode="_-* #,##0.00\ _z_ł_-;\-* #,##0.00\ _z_ł_-;_-* &quot;-&quot;??\ _z_ł_-;_-@_-"/>
    <numFmt numFmtId="164" formatCode="0.000"/>
    <numFmt numFmtId="165" formatCode="0.0"/>
    <numFmt numFmtId="166" formatCode="_-* #,##0\ _z_ł_-;\-* #,##0\ _z_ł_-;_-* &quot;-&quot;??\ _z_ł_-;_-@_-"/>
    <numFmt numFmtId="167" formatCode="#,##0.00\ &quot;zł&quot;"/>
    <numFmt numFmtId="168" formatCode="[$€-1809]#,##0.00"/>
    <numFmt numFmtId="169" formatCode="#,##0\ &quot;zł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trike/>
      <sz val="10"/>
      <color theme="1"/>
      <name val="Times New Roman"/>
      <family val="1"/>
      <charset val="238"/>
    </font>
    <font>
      <strike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trike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strike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2">
    <xf numFmtId="0" fontId="0" fillId="0" borderId="0" xfId="0"/>
    <xf numFmtId="0" fontId="2" fillId="2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43" fontId="0" fillId="0" borderId="6" xfId="0" applyNumberFormat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43" fontId="3" fillId="8" borderId="8" xfId="0" applyNumberFormat="1" applyFont="1" applyFill="1" applyBorder="1" applyAlignment="1">
      <alignment horizontal="left" vertical="top" wrapText="1" readingOrder="1"/>
    </xf>
    <xf numFmtId="0" fontId="3" fillId="8" borderId="1" xfId="0" applyFont="1" applyFill="1" applyBorder="1" applyAlignment="1">
      <alignment horizontal="left" vertical="top" wrapText="1" readingOrder="1"/>
    </xf>
    <xf numFmtId="43" fontId="3" fillId="8" borderId="9" xfId="0" applyNumberFormat="1" applyFont="1" applyFill="1" applyBorder="1" applyAlignment="1">
      <alignment horizontal="left" vertical="top" wrapText="1" readingOrder="1"/>
    </xf>
    <xf numFmtId="0" fontId="4" fillId="8" borderId="1" xfId="0" applyFont="1" applyFill="1" applyBorder="1" applyAlignment="1">
      <alignment horizontal="left" vertical="top" wrapText="1"/>
    </xf>
    <xf numFmtId="43" fontId="4" fillId="8" borderId="1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8" borderId="1" xfId="0" applyFont="1" applyFill="1" applyBorder="1" applyAlignment="1">
      <alignment horizontal="left" vertical="top" wrapText="1"/>
    </xf>
    <xf numFmtId="43" fontId="5" fillId="8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4" fillId="4" borderId="10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4" borderId="8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7" borderId="1" xfId="0" applyFont="1" applyFill="1" applyBorder="1" applyAlignment="1">
      <alignment horizontal="left" vertical="top" wrapText="1"/>
    </xf>
    <xf numFmtId="164" fontId="0" fillId="0" borderId="0" xfId="0" applyNumberFormat="1" applyAlignment="1">
      <alignment horizontal="left" vertical="top"/>
    </xf>
    <xf numFmtId="0" fontId="8" fillId="4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0" fillId="4" borderId="1" xfId="0" applyFont="1" applyFill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43" fontId="0" fillId="0" borderId="0" xfId="0" applyNumberForma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1" fillId="0" borderId="0" xfId="0" applyFont="1" applyBorder="1" applyAlignment="1">
      <alignment vertical="top" wrapText="1"/>
    </xf>
    <xf numFmtId="0" fontId="11" fillId="0" borderId="6" xfId="0" applyFont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 readingOrder="1"/>
    </xf>
    <xf numFmtId="0" fontId="3" fillId="5" borderId="1" xfId="0" applyFont="1" applyFill="1" applyBorder="1" applyAlignment="1">
      <alignment horizontal="left" vertical="top" wrapText="1" readingOrder="1"/>
    </xf>
    <xf numFmtId="0" fontId="3" fillId="8" borderId="8" xfId="0" applyFont="1" applyFill="1" applyBorder="1" applyAlignment="1">
      <alignment horizontal="left" vertical="top" wrapText="1" readingOrder="1"/>
    </xf>
    <xf numFmtId="0" fontId="3" fillId="6" borderId="1" xfId="0" applyFont="1" applyFill="1" applyBorder="1" applyAlignment="1">
      <alignment horizontal="left" vertical="center" wrapText="1" readingOrder="1"/>
    </xf>
    <xf numFmtId="43" fontId="11" fillId="0" borderId="0" xfId="0" applyNumberFormat="1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3" fontId="11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top"/>
    </xf>
    <xf numFmtId="166" fontId="3" fillId="8" borderId="8" xfId="0" applyNumberFormat="1" applyFont="1" applyFill="1" applyBorder="1" applyAlignment="1">
      <alignment horizontal="left" vertical="top" wrapText="1" readingOrder="1"/>
    </xf>
    <xf numFmtId="166" fontId="11" fillId="0" borderId="0" xfId="0" applyNumberFormat="1" applyFont="1" applyBorder="1" applyAlignment="1">
      <alignment vertical="top" wrapText="1"/>
    </xf>
    <xf numFmtId="10" fontId="0" fillId="0" borderId="0" xfId="2" applyNumberFormat="1" applyFont="1" applyAlignment="1">
      <alignment horizontal="left" vertical="center"/>
    </xf>
    <xf numFmtId="10" fontId="0" fillId="0" borderId="1" xfId="2" applyNumberFormat="1" applyFont="1" applyBorder="1" applyAlignment="1">
      <alignment horizontal="left" vertical="top"/>
    </xf>
    <xf numFmtId="10" fontId="11" fillId="0" borderId="1" xfId="2" applyNumberFormat="1" applyFont="1" applyBorder="1" applyAlignment="1">
      <alignment vertical="top" wrapText="1"/>
    </xf>
    <xf numFmtId="10" fontId="11" fillId="0" borderId="0" xfId="2" applyNumberFormat="1" applyFont="1" applyBorder="1" applyAlignment="1">
      <alignment vertical="top" wrapText="1"/>
    </xf>
    <xf numFmtId="0" fontId="2" fillId="0" borderId="1" xfId="0" applyFont="1" applyBorder="1" applyAlignment="1">
      <alignment horizontal="left" vertical="center"/>
    </xf>
    <xf numFmtId="43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/>
    </xf>
    <xf numFmtId="43" fontId="2" fillId="0" borderId="1" xfId="0" applyNumberFormat="1" applyFont="1" applyBorder="1" applyAlignment="1">
      <alignment horizontal="left" vertical="top"/>
    </xf>
    <xf numFmtId="166" fontId="2" fillId="0" borderId="1" xfId="0" applyNumberFormat="1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9" borderId="1" xfId="0" applyFont="1" applyFill="1" applyBorder="1" applyAlignment="1">
      <alignment horizontal="left" vertical="center"/>
    </xf>
    <xf numFmtId="43" fontId="2" fillId="9" borderId="1" xfId="0" applyNumberFormat="1" applyFont="1" applyFill="1" applyBorder="1" applyAlignment="1">
      <alignment horizontal="left" vertical="center"/>
    </xf>
    <xf numFmtId="43" fontId="2" fillId="9" borderId="1" xfId="0" applyNumberFormat="1" applyFont="1" applyFill="1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0" fontId="2" fillId="9" borderId="1" xfId="0" applyFont="1" applyFill="1" applyBorder="1" applyAlignment="1">
      <alignment horizontal="left" vertical="top"/>
    </xf>
    <xf numFmtId="165" fontId="2" fillId="0" borderId="1" xfId="0" applyNumberFormat="1" applyFont="1" applyBorder="1" applyAlignment="1">
      <alignment horizontal="left" vertical="top"/>
    </xf>
    <xf numFmtId="165" fontId="2" fillId="9" borderId="1" xfId="0" applyNumberFormat="1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43" fontId="17" fillId="0" borderId="1" xfId="0" applyNumberFormat="1" applyFont="1" applyBorder="1" applyAlignment="1">
      <alignment vertical="center"/>
    </xf>
    <xf numFmtId="43" fontId="17" fillId="9" borderId="1" xfId="0" applyNumberFormat="1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9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 readingOrder="1"/>
    </xf>
    <xf numFmtId="0" fontId="0" fillId="0" borderId="0" xfId="0" applyFont="1" applyAlignment="1">
      <alignment horizontal="left" vertical="top"/>
    </xf>
    <xf numFmtId="0" fontId="0" fillId="0" borderId="5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top"/>
    </xf>
    <xf numFmtId="0" fontId="0" fillId="0" borderId="6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0" fontId="11" fillId="4" borderId="8" xfId="0" applyFont="1" applyFill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8" xfId="0" applyFont="1" applyFill="1" applyBorder="1" applyAlignment="1">
      <alignment horizontal="left" vertical="top" wrapText="1"/>
    </xf>
    <xf numFmtId="0" fontId="11" fillId="8" borderId="8" xfId="0" applyFont="1" applyFill="1" applyBorder="1" applyAlignment="1">
      <alignment horizontal="left" vertical="top" wrapText="1"/>
    </xf>
    <xf numFmtId="43" fontId="11" fillId="8" borderId="8" xfId="0" applyNumberFormat="1" applyFont="1" applyFill="1" applyBorder="1" applyAlignment="1">
      <alignment horizontal="left" vertical="top" wrapText="1"/>
    </xf>
    <xf numFmtId="166" fontId="11" fillId="8" borderId="8" xfId="0" applyNumberFormat="1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top" wrapText="1"/>
    </xf>
    <xf numFmtId="43" fontId="11" fillId="8" borderId="1" xfId="0" applyNumberFormat="1" applyFont="1" applyFill="1" applyBorder="1" applyAlignment="1">
      <alignment horizontal="left" vertical="top" wrapText="1"/>
    </xf>
    <xf numFmtId="166" fontId="11" fillId="8" borderId="1" xfId="0" applyNumberFormat="1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164" fontId="0" fillId="0" borderId="0" xfId="0" applyNumberFormat="1" applyFont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0" xfId="0" applyFont="1" applyAlignment="1">
      <alignment horizontal="left" vertical="center"/>
    </xf>
    <xf numFmtId="43" fontId="0" fillId="0" borderId="0" xfId="0" applyNumberFormat="1" applyFont="1" applyAlignment="1">
      <alignment horizontal="left" vertical="top"/>
    </xf>
    <xf numFmtId="166" fontId="0" fillId="0" borderId="0" xfId="0" applyNumberFormat="1" applyFont="1" applyAlignment="1">
      <alignment horizontal="left" vertical="top"/>
    </xf>
    <xf numFmtId="0" fontId="22" fillId="0" borderId="0" xfId="0" applyFont="1" applyAlignment="1">
      <alignment horizontal="left" vertical="center"/>
    </xf>
    <xf numFmtId="43" fontId="0" fillId="0" borderId="1" xfId="0" applyNumberFormat="1" applyFont="1" applyBorder="1" applyAlignment="1">
      <alignment horizontal="center" vertical="top"/>
    </xf>
    <xf numFmtId="0" fontId="0" fillId="0" borderId="1" xfId="0" applyFont="1" applyBorder="1" applyAlignment="1">
      <alignment horizontal="center" vertical="center"/>
    </xf>
    <xf numFmtId="167" fontId="18" fillId="10" borderId="1" xfId="0" applyNumberFormat="1" applyFont="1" applyFill="1" applyBorder="1" applyAlignment="1">
      <alignment horizontal="center" vertical="center" wrapText="1"/>
    </xf>
    <xf numFmtId="167" fontId="0" fillId="0" borderId="0" xfId="0" applyNumberFormat="1"/>
    <xf numFmtId="168" fontId="0" fillId="0" borderId="0" xfId="0" applyNumberFormat="1"/>
    <xf numFmtId="0" fontId="0" fillId="0" borderId="0" xfId="0" applyFill="1"/>
    <xf numFmtId="167" fontId="0" fillId="0" borderId="0" xfId="0" applyNumberFormat="1" applyFill="1"/>
    <xf numFmtId="167" fontId="18" fillId="0" borderId="1" xfId="0" applyNumberFormat="1" applyFont="1" applyBorder="1" applyAlignment="1">
      <alignment horizontal="right" vertical="center" wrapText="1"/>
    </xf>
    <xf numFmtId="43" fontId="0" fillId="0" borderId="0" xfId="0" applyNumberFormat="1" applyFill="1"/>
    <xf numFmtId="167" fontId="23" fillId="0" borderId="1" xfId="0" applyNumberFormat="1" applyFont="1" applyBorder="1" applyAlignment="1">
      <alignment horizontal="right" vertical="center" wrapText="1"/>
    </xf>
    <xf numFmtId="0" fontId="23" fillId="11" borderId="1" xfId="0" applyFont="1" applyFill="1" applyBorder="1" applyAlignment="1">
      <alignment horizontal="left" vertical="top" wrapText="1"/>
    </xf>
    <xf numFmtId="167" fontId="23" fillId="11" borderId="1" xfId="0" applyNumberFormat="1" applyFont="1" applyFill="1" applyBorder="1" applyAlignment="1">
      <alignment horizontal="right" vertical="center" wrapText="1"/>
    </xf>
    <xf numFmtId="167" fontId="23" fillId="0" borderId="2" xfId="0" applyNumberFormat="1" applyFont="1" applyBorder="1" applyAlignment="1">
      <alignment horizontal="center" vertical="center" wrapText="1"/>
    </xf>
    <xf numFmtId="167" fontId="23" fillId="0" borderId="3" xfId="0" applyNumberFormat="1" applyFont="1" applyBorder="1" applyAlignment="1">
      <alignment vertical="center" wrapText="1"/>
    </xf>
    <xf numFmtId="167" fontId="23" fillId="0" borderId="4" xfId="0" applyNumberFormat="1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43" fontId="0" fillId="0" borderId="0" xfId="0" applyNumberFormat="1"/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23" fillId="0" borderId="1" xfId="0" applyFont="1" applyBorder="1" applyAlignment="1">
      <alignment horizontal="justify" vertical="center" wrapText="1"/>
    </xf>
    <xf numFmtId="167" fontId="23" fillId="13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wrapText="1"/>
    </xf>
    <xf numFmtId="0" fontId="24" fillId="0" borderId="16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25" fillId="12" borderId="18" xfId="0" applyFont="1" applyFill="1" applyBorder="1" applyAlignment="1">
      <alignment horizontal="justify" vertical="center"/>
    </xf>
    <xf numFmtId="0" fontId="25" fillId="12" borderId="19" xfId="0" applyFont="1" applyFill="1" applyBorder="1" applyAlignment="1">
      <alignment horizontal="justify" vertical="center"/>
    </xf>
    <xf numFmtId="0" fontId="25" fillId="12" borderId="19" xfId="0" applyFont="1" applyFill="1" applyBorder="1" applyAlignment="1">
      <alignment horizontal="center" vertical="center" wrapText="1"/>
    </xf>
    <xf numFmtId="6" fontId="25" fillId="12" borderId="19" xfId="0" applyNumberFormat="1" applyFont="1" applyFill="1" applyBorder="1" applyAlignment="1">
      <alignment horizontal="justify" vertical="center"/>
    </xf>
    <xf numFmtId="6" fontId="23" fillId="12" borderId="19" xfId="0" applyNumberFormat="1" applyFont="1" applyFill="1" applyBorder="1" applyAlignment="1">
      <alignment horizontal="justify" vertical="center"/>
    </xf>
    <xf numFmtId="0" fontId="18" fillId="12" borderId="19" xfId="0" applyFont="1" applyFill="1" applyBorder="1" applyAlignment="1">
      <alignment horizontal="center" vertical="center"/>
    </xf>
    <xf numFmtId="6" fontId="18" fillId="12" borderId="19" xfId="0" applyNumberFormat="1" applyFont="1" applyFill="1" applyBorder="1" applyAlignment="1">
      <alignment horizontal="justify" vertical="center"/>
    </xf>
    <xf numFmtId="9" fontId="18" fillId="0" borderId="19" xfId="0" applyNumberFormat="1" applyFont="1" applyBorder="1" applyAlignment="1">
      <alignment horizontal="justify" vertical="center"/>
    </xf>
    <xf numFmtId="0" fontId="25" fillId="11" borderId="19" xfId="0" applyFont="1" applyFill="1" applyBorder="1" applyAlignment="1">
      <alignment horizontal="center" vertical="center" wrapText="1"/>
    </xf>
    <xf numFmtId="6" fontId="25" fillId="11" borderId="19" xfId="0" applyNumberFormat="1" applyFont="1" applyFill="1" applyBorder="1" applyAlignment="1">
      <alignment horizontal="justify" vertical="center"/>
    </xf>
    <xf numFmtId="0" fontId="24" fillId="0" borderId="18" xfId="0" applyFont="1" applyBorder="1" applyAlignment="1">
      <alignment horizontal="justify" vertical="center"/>
    </xf>
    <xf numFmtId="0" fontId="24" fillId="0" borderId="19" xfId="0" applyFont="1" applyBorder="1" applyAlignment="1">
      <alignment horizontal="justify" vertical="center"/>
    </xf>
    <xf numFmtId="0" fontId="24" fillId="0" borderId="19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/>
    </xf>
    <xf numFmtId="9" fontId="24" fillId="0" borderId="19" xfId="0" applyNumberFormat="1" applyFont="1" applyBorder="1" applyAlignment="1">
      <alignment horizontal="justify" vertical="center"/>
    </xf>
    <xf numFmtId="169" fontId="25" fillId="12" borderId="19" xfId="0" applyNumberFormat="1" applyFont="1" applyFill="1" applyBorder="1" applyAlignment="1">
      <alignment horizontal="center" vertical="center" wrapText="1"/>
    </xf>
    <xf numFmtId="169" fontId="25" fillId="11" borderId="19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vertical="center"/>
    </xf>
    <xf numFmtId="0" fontId="25" fillId="14" borderId="18" xfId="0" applyFont="1" applyFill="1" applyBorder="1" applyAlignment="1">
      <alignment horizontal="justify" vertical="center"/>
    </xf>
    <xf numFmtId="0" fontId="25" fillId="14" borderId="19" xfId="0" applyFont="1" applyFill="1" applyBorder="1" applyAlignment="1">
      <alignment horizontal="justify" vertical="center"/>
    </xf>
    <xf numFmtId="2" fontId="25" fillId="14" borderId="19" xfId="0" applyNumberFormat="1" applyFont="1" applyFill="1" applyBorder="1" applyAlignment="1">
      <alignment horizontal="center" vertical="center" wrapText="1"/>
    </xf>
    <xf numFmtId="169" fontId="25" fillId="14" borderId="19" xfId="0" applyNumberFormat="1" applyFont="1" applyFill="1" applyBorder="1" applyAlignment="1">
      <alignment horizontal="center" vertical="center" wrapText="1"/>
    </xf>
    <xf numFmtId="0" fontId="25" fillId="14" borderId="19" xfId="0" applyFont="1" applyFill="1" applyBorder="1" applyAlignment="1">
      <alignment horizontal="center" vertical="center" wrapText="1"/>
    </xf>
    <xf numFmtId="2" fontId="18" fillId="14" borderId="19" xfId="0" applyNumberFormat="1" applyFont="1" applyFill="1" applyBorder="1" applyAlignment="1">
      <alignment horizontal="center" vertical="center"/>
    </xf>
    <xf numFmtId="6" fontId="18" fillId="14" borderId="19" xfId="0" applyNumberFormat="1" applyFont="1" applyFill="1" applyBorder="1" applyAlignment="1">
      <alignment horizontal="justify" vertical="center"/>
    </xf>
    <xf numFmtId="0" fontId="25" fillId="15" borderId="20" xfId="0" applyFont="1" applyFill="1" applyBorder="1" applyAlignment="1">
      <alignment horizontal="justify" vertical="center"/>
    </xf>
    <xf numFmtId="2" fontId="25" fillId="15" borderId="20" xfId="0" applyNumberFormat="1" applyFont="1" applyFill="1" applyBorder="1" applyAlignment="1">
      <alignment horizontal="center" vertical="center" wrapText="1"/>
    </xf>
    <xf numFmtId="169" fontId="25" fillId="15" borderId="20" xfId="0" applyNumberFormat="1" applyFont="1" applyFill="1" applyBorder="1" applyAlignment="1">
      <alignment horizontal="center" vertical="center" wrapText="1"/>
    </xf>
    <xf numFmtId="0" fontId="25" fillId="15" borderId="19" xfId="0" applyFont="1" applyFill="1" applyBorder="1" applyAlignment="1">
      <alignment horizontal="center" vertical="center" wrapText="1"/>
    </xf>
    <xf numFmtId="2" fontId="25" fillId="15" borderId="19" xfId="0" applyNumberFormat="1" applyFont="1" applyFill="1" applyBorder="1" applyAlignment="1">
      <alignment horizontal="center" vertical="center" wrapText="1"/>
    </xf>
    <xf numFmtId="169" fontId="25" fillId="15" borderId="19" xfId="0" applyNumberFormat="1" applyFont="1" applyFill="1" applyBorder="1" applyAlignment="1">
      <alignment horizontal="center" vertical="center" wrapText="1"/>
    </xf>
    <xf numFmtId="2" fontId="24" fillId="11" borderId="20" xfId="0" applyNumberFormat="1" applyFont="1" applyFill="1" applyBorder="1" applyAlignment="1">
      <alignment horizontal="center" vertical="center"/>
    </xf>
    <xf numFmtId="6" fontId="24" fillId="11" borderId="20" xfId="0" applyNumberFormat="1" applyFont="1" applyFill="1" applyBorder="1" applyAlignment="1">
      <alignment horizontal="justify" vertical="center"/>
    </xf>
    <xf numFmtId="9" fontId="24" fillId="0" borderId="20" xfId="0" applyNumberFormat="1" applyFont="1" applyBorder="1" applyAlignment="1">
      <alignment horizontal="justify" vertical="center"/>
    </xf>
    <xf numFmtId="0" fontId="25" fillId="15" borderId="18" xfId="0" applyFont="1" applyFill="1" applyBorder="1" applyAlignment="1">
      <alignment horizontal="justify" vertical="center"/>
    </xf>
    <xf numFmtId="0" fontId="25" fillId="15" borderId="18" xfId="0" applyFont="1" applyFill="1" applyBorder="1" applyAlignment="1">
      <alignment horizontal="center" vertical="center" wrapText="1"/>
    </xf>
    <xf numFmtId="169" fontId="25" fillId="15" borderId="18" xfId="0" applyNumberFormat="1" applyFont="1" applyFill="1" applyBorder="1" applyAlignment="1">
      <alignment horizontal="center" vertical="center" wrapText="1"/>
    </xf>
    <xf numFmtId="0" fontId="24" fillId="11" borderId="18" xfId="0" applyFont="1" applyFill="1" applyBorder="1" applyAlignment="1">
      <alignment horizontal="center" vertical="center"/>
    </xf>
    <xf numFmtId="6" fontId="24" fillId="11" borderId="18" xfId="0" applyNumberFormat="1" applyFont="1" applyFill="1" applyBorder="1" applyAlignment="1">
      <alignment horizontal="justify" vertical="center"/>
    </xf>
    <xf numFmtId="2" fontId="24" fillId="0" borderId="19" xfId="0" applyNumberFormat="1" applyFont="1" applyBorder="1" applyAlignment="1">
      <alignment horizontal="center" vertical="center" wrapText="1"/>
    </xf>
    <xf numFmtId="165" fontId="24" fillId="0" borderId="19" xfId="0" applyNumberFormat="1" applyFont="1" applyBorder="1" applyAlignment="1">
      <alignment horizontal="center" vertical="center"/>
    </xf>
    <xf numFmtId="6" fontId="24" fillId="0" borderId="19" xfId="0" applyNumberFormat="1" applyFont="1" applyBorder="1" applyAlignment="1">
      <alignment horizontal="justify" vertical="center"/>
    </xf>
    <xf numFmtId="10" fontId="24" fillId="0" borderId="19" xfId="0" applyNumberFormat="1" applyFont="1" applyBorder="1" applyAlignment="1">
      <alignment horizontal="justify" vertical="center"/>
    </xf>
    <xf numFmtId="10" fontId="18" fillId="0" borderId="19" xfId="0" applyNumberFormat="1" applyFont="1" applyBorder="1" applyAlignment="1">
      <alignment horizontal="justify" vertical="center"/>
    </xf>
    <xf numFmtId="8" fontId="24" fillId="11" borderId="20" xfId="0" applyNumberFormat="1" applyFont="1" applyFill="1" applyBorder="1" applyAlignment="1">
      <alignment horizontal="justify" vertical="center"/>
    </xf>
    <xf numFmtId="10" fontId="24" fillId="0" borderId="20" xfId="0" applyNumberFormat="1" applyFont="1" applyBorder="1" applyAlignment="1">
      <alignment horizontal="justify" vertical="center"/>
    </xf>
    <xf numFmtId="10" fontId="0" fillId="0" borderId="0" xfId="2" applyNumberFormat="1" applyFont="1"/>
    <xf numFmtId="169" fontId="0" fillId="0" borderId="0" xfId="0" applyNumberFormat="1"/>
    <xf numFmtId="167" fontId="25" fillId="15" borderId="19" xfId="0" applyNumberFormat="1" applyFont="1" applyFill="1" applyBorder="1" applyAlignment="1">
      <alignment horizontal="center" vertical="center" wrapText="1"/>
    </xf>
    <xf numFmtId="9" fontId="0" fillId="0" borderId="0" xfId="2" applyFont="1"/>
    <xf numFmtId="8" fontId="24" fillId="0" borderId="19" xfId="0" applyNumberFormat="1" applyFont="1" applyBorder="1" applyAlignment="1">
      <alignment horizontal="justify" vertical="center"/>
    </xf>
    <xf numFmtId="0" fontId="0" fillId="0" borderId="0" xfId="0" applyAlignment="1">
      <alignment horizontal="left" vertical="top" wrapText="1"/>
    </xf>
    <xf numFmtId="0" fontId="23" fillId="9" borderId="1" xfId="0" applyFont="1" applyFill="1" applyBorder="1" applyAlignment="1">
      <alignment horizontal="left" vertical="top" wrapText="1"/>
    </xf>
    <xf numFmtId="167" fontId="23" fillId="9" borderId="1" xfId="0" applyNumberFormat="1" applyFont="1" applyFill="1" applyBorder="1" applyAlignment="1">
      <alignment horizontal="right" vertical="center" wrapText="1"/>
    </xf>
    <xf numFmtId="43" fontId="11" fillId="9" borderId="8" xfId="0" applyNumberFormat="1" applyFont="1" applyFill="1" applyBorder="1" applyAlignment="1">
      <alignment vertical="center" wrapText="1"/>
    </xf>
    <xf numFmtId="0" fontId="11" fillId="9" borderId="9" xfId="0" applyFont="1" applyFill="1" applyBorder="1" applyAlignment="1">
      <alignment vertical="center" wrapText="1"/>
    </xf>
    <xf numFmtId="43" fontId="11" fillId="9" borderId="10" xfId="0" applyNumberFormat="1" applyFont="1" applyFill="1" applyBorder="1" applyAlignment="1">
      <alignment vertical="center" wrapText="1"/>
    </xf>
    <xf numFmtId="43" fontId="11" fillId="9" borderId="10" xfId="0" applyNumberFormat="1" applyFont="1" applyFill="1" applyBorder="1" applyAlignment="1">
      <alignment wrapText="1"/>
    </xf>
    <xf numFmtId="43" fontId="3" fillId="0" borderId="1" xfId="0" applyNumberFormat="1" applyFont="1" applyBorder="1" applyAlignment="1">
      <alignment horizontal="left" vertical="center"/>
    </xf>
    <xf numFmtId="43" fontId="3" fillId="9" borderId="1" xfId="0" applyNumberFormat="1" applyFont="1" applyFill="1" applyBorder="1" applyAlignment="1">
      <alignment horizontal="left" vertical="center"/>
    </xf>
    <xf numFmtId="0" fontId="3" fillId="6" borderId="8" xfId="0" applyFont="1" applyFill="1" applyBorder="1" applyAlignment="1">
      <alignment horizontal="left" vertical="center" wrapText="1"/>
    </xf>
    <xf numFmtId="43" fontId="11" fillId="6" borderId="8" xfId="0" applyNumberFormat="1" applyFont="1" applyFill="1" applyBorder="1" applyAlignment="1">
      <alignment horizontal="left" vertical="center" wrapText="1"/>
    </xf>
    <xf numFmtId="43" fontId="11" fillId="6" borderId="8" xfId="0" applyNumberFormat="1" applyFont="1" applyFill="1" applyBorder="1" applyAlignment="1">
      <alignment vertical="center" wrapText="1"/>
    </xf>
    <xf numFmtId="43" fontId="11" fillId="6" borderId="10" xfId="0" applyNumberFormat="1" applyFont="1" applyFill="1" applyBorder="1" applyAlignment="1">
      <alignment vertical="top" wrapText="1"/>
    </xf>
    <xf numFmtId="0" fontId="11" fillId="6" borderId="9" xfId="0" applyFont="1" applyFill="1" applyBorder="1" applyAlignment="1">
      <alignment vertical="center" wrapText="1"/>
    </xf>
    <xf numFmtId="43" fontId="11" fillId="6" borderId="10" xfId="0" applyNumberFormat="1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left" vertical="center" wrapText="1"/>
    </xf>
    <xf numFmtId="43" fontId="2" fillId="6" borderId="1" xfId="0" applyNumberFormat="1" applyFont="1" applyFill="1" applyBorder="1" applyAlignment="1">
      <alignment horizontal="left" vertical="center"/>
    </xf>
    <xf numFmtId="165" fontId="2" fillId="6" borderId="1" xfId="0" applyNumberFormat="1" applyFont="1" applyFill="1" applyBorder="1" applyAlignment="1">
      <alignment horizontal="left" vertical="top"/>
    </xf>
    <xf numFmtId="0" fontId="2" fillId="6" borderId="1" xfId="0" applyFont="1" applyFill="1" applyBorder="1" applyAlignment="1">
      <alignment horizontal="left" vertical="top"/>
    </xf>
    <xf numFmtId="0" fontId="2" fillId="6" borderId="1" xfId="0" applyFont="1" applyFill="1" applyBorder="1" applyAlignment="1">
      <alignment horizontal="center" vertical="center"/>
    </xf>
    <xf numFmtId="43" fontId="17" fillId="6" borderId="1" xfId="0" applyNumberFormat="1" applyFont="1" applyFill="1" applyBorder="1" applyAlignment="1">
      <alignment vertical="center"/>
    </xf>
    <xf numFmtId="1" fontId="2" fillId="6" borderId="1" xfId="0" applyNumberFormat="1" applyFont="1" applyFill="1" applyBorder="1" applyAlignment="1">
      <alignment horizontal="center" vertical="center"/>
    </xf>
    <xf numFmtId="43" fontId="3" fillId="6" borderId="1" xfId="0" applyNumberFormat="1" applyFont="1" applyFill="1" applyBorder="1" applyAlignment="1">
      <alignment horizontal="left" vertical="center" wrapText="1"/>
    </xf>
    <xf numFmtId="43" fontId="3" fillId="6" borderId="1" xfId="0" applyNumberFormat="1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vertical="center"/>
    </xf>
    <xf numFmtId="0" fontId="2" fillId="5" borderId="3" xfId="0" applyFont="1" applyFill="1" applyBorder="1" applyAlignment="1">
      <alignment vertical="top"/>
    </xf>
    <xf numFmtId="166" fontId="2" fillId="5" borderId="3" xfId="0" applyNumberFormat="1" applyFont="1" applyFill="1" applyBorder="1" applyAlignment="1">
      <alignment vertical="top"/>
    </xf>
    <xf numFmtId="0" fontId="2" fillId="5" borderId="4" xfId="0" applyFont="1" applyFill="1" applyBorder="1" applyAlignment="1">
      <alignment vertical="top"/>
    </xf>
    <xf numFmtId="0" fontId="2" fillId="5" borderId="1" xfId="0" applyFont="1" applyFill="1" applyBorder="1" applyAlignment="1">
      <alignment horizontal="left" vertical="top"/>
    </xf>
    <xf numFmtId="0" fontId="3" fillId="5" borderId="1" xfId="0" applyFont="1" applyFill="1" applyBorder="1" applyAlignment="1">
      <alignment horizontal="left" vertical="top" wrapText="1" readingOrder="1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 wrapText="1" readingOrder="1"/>
    </xf>
    <xf numFmtId="0" fontId="3" fillId="4" borderId="1" xfId="0" applyFont="1" applyFill="1" applyBorder="1" applyAlignment="1">
      <alignment horizontal="left" vertical="top" wrapText="1" readingOrder="1"/>
    </xf>
    <xf numFmtId="0" fontId="3" fillId="8" borderId="1" xfId="0" applyFont="1" applyFill="1" applyBorder="1" applyAlignment="1">
      <alignment horizontal="left" vertical="top" wrapText="1" readingOrder="1"/>
    </xf>
    <xf numFmtId="0" fontId="3" fillId="8" borderId="8" xfId="0" applyFont="1" applyFill="1" applyBorder="1" applyAlignment="1">
      <alignment horizontal="left" vertical="top" wrapText="1" readingOrder="1"/>
    </xf>
    <xf numFmtId="0" fontId="3" fillId="8" borderId="9" xfId="0" applyFont="1" applyFill="1" applyBorder="1" applyAlignment="1">
      <alignment horizontal="left" vertical="top" wrapText="1" readingOrder="1"/>
    </xf>
    <xf numFmtId="0" fontId="4" fillId="3" borderId="8" xfId="0" applyFont="1" applyFill="1" applyBorder="1" applyAlignment="1">
      <alignment horizontal="left" vertical="top" textRotation="90" wrapText="1"/>
    </xf>
    <xf numFmtId="0" fontId="4" fillId="3" borderId="10" xfId="0" applyFont="1" applyFill="1" applyBorder="1" applyAlignment="1">
      <alignment horizontal="left" vertical="top" textRotation="90" wrapText="1"/>
    </xf>
    <xf numFmtId="0" fontId="4" fillId="4" borderId="8" xfId="0" applyFont="1" applyFill="1" applyBorder="1" applyAlignment="1">
      <alignment horizontal="left" vertical="top" wrapText="1"/>
    </xf>
    <xf numFmtId="0" fontId="4" fillId="4" borderId="10" xfId="0" applyFont="1" applyFill="1" applyBorder="1" applyAlignment="1">
      <alignment horizontal="left" vertical="top" wrapText="1"/>
    </xf>
    <xf numFmtId="0" fontId="4" fillId="4" borderId="9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3" fillId="8" borderId="8" xfId="0" applyFont="1" applyFill="1" applyBorder="1" applyAlignment="1">
      <alignment horizontal="center" vertical="top" wrapText="1" readingOrder="1"/>
    </xf>
    <xf numFmtId="0" fontId="3" fillId="8" borderId="9" xfId="0" applyFont="1" applyFill="1" applyBorder="1" applyAlignment="1">
      <alignment horizontal="center" vertical="top" wrapText="1" readingOrder="1"/>
    </xf>
    <xf numFmtId="0" fontId="3" fillId="7" borderId="1" xfId="0" applyFont="1" applyFill="1" applyBorder="1" applyAlignment="1">
      <alignment horizontal="left" vertical="top" wrapText="1" readingOrder="1"/>
    </xf>
    <xf numFmtId="0" fontId="3" fillId="6" borderId="1" xfId="0" applyFont="1" applyFill="1" applyBorder="1" applyAlignment="1">
      <alignment horizontal="left" vertical="top" wrapText="1" readingOrder="1"/>
    </xf>
    <xf numFmtId="0" fontId="4" fillId="7" borderId="1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textRotation="90" wrapText="1"/>
    </xf>
    <xf numFmtId="0" fontId="4" fillId="6" borderId="10" xfId="0" applyFont="1" applyFill="1" applyBorder="1" applyAlignment="1">
      <alignment horizontal="left" vertical="top" textRotation="90" wrapText="1"/>
    </xf>
    <xf numFmtId="0" fontId="4" fillId="6" borderId="9" xfId="0" applyFont="1" applyFill="1" applyBorder="1" applyAlignment="1">
      <alignment horizontal="left" vertical="top" textRotation="90" wrapText="1"/>
    </xf>
    <xf numFmtId="0" fontId="4" fillId="6" borderId="1" xfId="0" applyFont="1" applyFill="1" applyBorder="1" applyAlignment="1">
      <alignment horizontal="left" vertical="top" textRotation="90" wrapText="1"/>
    </xf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textRotation="90" wrapText="1"/>
    </xf>
    <xf numFmtId="0" fontId="4" fillId="0" borderId="8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5" fillId="4" borderId="10" xfId="0" applyFont="1" applyFill="1" applyBorder="1" applyAlignment="1">
      <alignment horizontal="left" vertical="top" wrapText="1"/>
    </xf>
    <xf numFmtId="0" fontId="5" fillId="4" borderId="9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43" fontId="3" fillId="8" borderId="8" xfId="0" applyNumberFormat="1" applyFont="1" applyFill="1" applyBorder="1" applyAlignment="1">
      <alignment horizontal="center" vertical="top" wrapText="1" readingOrder="1"/>
    </xf>
    <xf numFmtId="43" fontId="3" fillId="8" borderId="9" xfId="0" applyNumberFormat="1" applyFont="1" applyFill="1" applyBorder="1" applyAlignment="1">
      <alignment horizontal="center" vertical="top" wrapText="1" readingOrder="1"/>
    </xf>
    <xf numFmtId="0" fontId="4" fillId="7" borderId="8" xfId="0" applyFont="1" applyFill="1" applyBorder="1" applyAlignment="1">
      <alignment horizontal="left" vertical="top" wrapText="1"/>
    </xf>
    <xf numFmtId="0" fontId="4" fillId="7" borderId="9" xfId="0" applyFont="1" applyFill="1" applyBorder="1" applyAlignment="1">
      <alignment horizontal="left" vertical="top" wrapText="1"/>
    </xf>
    <xf numFmtId="9" fontId="4" fillId="0" borderId="8" xfId="0" applyNumberFormat="1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9" fillId="4" borderId="8" xfId="0" applyFont="1" applyFill="1" applyBorder="1" applyAlignment="1">
      <alignment horizontal="left" vertical="center" textRotation="90" wrapText="1"/>
    </xf>
    <xf numFmtId="0" fontId="19" fillId="4" borderId="10" xfId="0" applyFont="1" applyFill="1" applyBorder="1" applyAlignment="1">
      <alignment horizontal="left" vertical="center" textRotation="90" wrapText="1"/>
    </xf>
    <xf numFmtId="43" fontId="11" fillId="4" borderId="8" xfId="0" applyNumberFormat="1" applyFont="1" applyFill="1" applyBorder="1" applyAlignment="1">
      <alignment horizontal="left" vertical="center" wrapText="1"/>
    </xf>
    <xf numFmtId="0" fontId="11" fillId="4" borderId="10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left" vertical="top" wrapText="1"/>
    </xf>
    <xf numFmtId="0" fontId="11" fillId="0" borderId="9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21" fillId="4" borderId="1" xfId="0" applyFont="1" applyFill="1" applyBorder="1" applyAlignment="1">
      <alignment horizontal="left" vertical="center" textRotation="90" wrapText="1"/>
    </xf>
    <xf numFmtId="0" fontId="21" fillId="4" borderId="8" xfId="0" applyFont="1" applyFill="1" applyBorder="1" applyAlignment="1">
      <alignment horizontal="left" vertical="center" textRotation="90" wrapText="1"/>
    </xf>
    <xf numFmtId="0" fontId="21" fillId="4" borderId="10" xfId="0" applyFont="1" applyFill="1" applyBorder="1" applyAlignment="1">
      <alignment horizontal="left" vertical="center" textRotation="90" wrapText="1"/>
    </xf>
    <xf numFmtId="0" fontId="19" fillId="4" borderId="1" xfId="0" applyFont="1" applyFill="1" applyBorder="1" applyAlignment="1">
      <alignment horizontal="left" vertical="center" textRotation="90" wrapText="1"/>
    </xf>
    <xf numFmtId="0" fontId="11" fillId="4" borderId="8" xfId="0" applyFont="1" applyFill="1" applyBorder="1" applyAlignment="1">
      <alignment horizontal="left" vertical="top" wrapText="1"/>
    </xf>
    <xf numFmtId="0" fontId="11" fillId="4" borderId="10" xfId="0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left" vertical="center" wrapText="1"/>
    </xf>
    <xf numFmtId="9" fontId="11" fillId="0" borderId="8" xfId="2" applyFont="1" applyBorder="1" applyAlignment="1">
      <alignment horizontal="left" vertical="center" wrapText="1"/>
    </xf>
    <xf numFmtId="9" fontId="11" fillId="0" borderId="10" xfId="2" applyFont="1" applyBorder="1" applyAlignment="1">
      <alignment horizontal="left" vertical="center" wrapText="1"/>
    </xf>
    <xf numFmtId="9" fontId="11" fillId="0" borderId="9" xfId="2" applyFont="1" applyBorder="1" applyAlignment="1">
      <alignment horizontal="left" vertical="center" wrapText="1"/>
    </xf>
    <xf numFmtId="0" fontId="11" fillId="4" borderId="8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43" fontId="11" fillId="4" borderId="1" xfId="0" applyNumberFormat="1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16" fillId="4" borderId="8" xfId="0" applyFont="1" applyFill="1" applyBorder="1" applyAlignment="1">
      <alignment horizontal="left" vertical="center" wrapText="1"/>
    </xf>
    <xf numFmtId="0" fontId="16" fillId="4" borderId="9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top" wrapText="1"/>
    </xf>
    <xf numFmtId="0" fontId="11" fillId="0" borderId="10" xfId="0" applyFont="1" applyFill="1" applyBorder="1" applyAlignment="1">
      <alignment horizontal="left" vertical="top" wrapText="1"/>
    </xf>
    <xf numFmtId="0" fontId="20" fillId="4" borderId="8" xfId="0" applyFont="1" applyFill="1" applyBorder="1" applyAlignment="1">
      <alignment horizontal="left" vertical="top" wrapText="1"/>
    </xf>
    <xf numFmtId="0" fontId="20" fillId="4" borderId="9" xfId="0" applyFont="1" applyFill="1" applyBorder="1" applyAlignment="1">
      <alignment horizontal="left" vertical="top" wrapText="1"/>
    </xf>
    <xf numFmtId="3" fontId="11" fillId="0" borderId="1" xfId="0" applyNumberFormat="1" applyFont="1" applyFill="1" applyBorder="1" applyAlignment="1">
      <alignment horizontal="left" vertical="top" wrapText="1"/>
    </xf>
    <xf numFmtId="166" fontId="11" fillId="0" borderId="1" xfId="1" applyNumberFormat="1" applyFont="1" applyFill="1" applyBorder="1" applyAlignment="1">
      <alignment horizontal="left" vertical="top" wrapText="1"/>
    </xf>
    <xf numFmtId="0" fontId="20" fillId="4" borderId="1" xfId="0" applyFont="1" applyFill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3" fillId="9" borderId="8" xfId="0" applyFont="1" applyFill="1" applyBorder="1" applyAlignment="1">
      <alignment horizontal="left" vertical="center" wrapText="1"/>
    </xf>
    <xf numFmtId="0" fontId="3" fillId="9" borderId="10" xfId="0" applyFont="1" applyFill="1" applyBorder="1" applyAlignment="1">
      <alignment horizontal="left" vertical="center" wrapText="1"/>
    </xf>
    <xf numFmtId="0" fontId="3" fillId="9" borderId="9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top"/>
    </xf>
    <xf numFmtId="166" fontId="11" fillId="8" borderId="8" xfId="0" applyNumberFormat="1" applyFont="1" applyFill="1" applyBorder="1" applyAlignment="1">
      <alignment horizontal="center" vertical="center" wrapText="1"/>
    </xf>
    <xf numFmtId="166" fontId="11" fillId="8" borderId="9" xfId="0" applyNumberFormat="1" applyFont="1" applyFill="1" applyBorder="1" applyAlignment="1">
      <alignment horizontal="center" vertical="center" wrapText="1"/>
    </xf>
    <xf numFmtId="43" fontId="11" fillId="8" borderId="8" xfId="0" applyNumberFormat="1" applyFont="1" applyFill="1" applyBorder="1" applyAlignment="1">
      <alignment horizontal="center" vertical="center" wrapText="1"/>
    </xf>
    <xf numFmtId="43" fontId="11" fillId="8" borderId="9" xfId="0" applyNumberFormat="1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1" fillId="8" borderId="8" xfId="0" applyFont="1" applyFill="1" applyBorder="1" applyAlignment="1">
      <alignment horizontal="left" vertical="center" wrapText="1"/>
    </xf>
    <xf numFmtId="0" fontId="11" fillId="8" borderId="9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left" vertical="center" wrapText="1"/>
    </xf>
    <xf numFmtId="0" fontId="3" fillId="6" borderId="10" xfId="0" applyFont="1" applyFill="1" applyBorder="1" applyAlignment="1">
      <alignment horizontal="left" vertical="center" wrapText="1"/>
    </xf>
    <xf numFmtId="0" fontId="3" fillId="6" borderId="9" xfId="0" applyFont="1" applyFill="1" applyBorder="1" applyAlignment="1">
      <alignment horizontal="left" vertical="center" wrapText="1"/>
    </xf>
    <xf numFmtId="43" fontId="11" fillId="8" borderId="8" xfId="0" applyNumberFormat="1" applyFont="1" applyFill="1" applyBorder="1" applyAlignment="1">
      <alignment horizontal="left" vertical="center" wrapText="1"/>
    </xf>
    <xf numFmtId="43" fontId="11" fillId="8" borderId="9" xfId="0" applyNumberFormat="1" applyFont="1" applyFill="1" applyBorder="1" applyAlignment="1">
      <alignment horizontal="left" vertical="center" wrapText="1"/>
    </xf>
    <xf numFmtId="167" fontId="23" fillId="0" borderId="11" xfId="0" applyNumberFormat="1" applyFont="1" applyBorder="1" applyAlignment="1">
      <alignment horizontal="center" vertical="center" wrapText="1"/>
    </xf>
    <xf numFmtId="167" fontId="23" fillId="0" borderId="5" xfId="0" applyNumberFormat="1" applyFont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justify" vertical="center" wrapText="1"/>
    </xf>
    <xf numFmtId="167" fontId="23" fillId="0" borderId="8" xfId="0" applyNumberFormat="1" applyFont="1" applyBorder="1" applyAlignment="1">
      <alignment horizontal="center" vertical="center" wrapText="1"/>
    </xf>
    <xf numFmtId="167" fontId="23" fillId="0" borderId="9" xfId="0" applyNumberFormat="1" applyFont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justify" vertical="center"/>
    </xf>
    <xf numFmtId="0" fontId="23" fillId="13" borderId="1" xfId="0" applyFont="1" applyFill="1" applyBorder="1" applyAlignment="1">
      <alignment horizontal="justify" vertical="center" wrapText="1"/>
    </xf>
    <xf numFmtId="0" fontId="23" fillId="9" borderId="1" xfId="0" applyFont="1" applyFill="1" applyBorder="1" applyAlignment="1">
      <alignment horizontal="justify" vertical="center" wrapText="1"/>
    </xf>
    <xf numFmtId="9" fontId="24" fillId="0" borderId="20" xfId="0" applyNumberFormat="1" applyFont="1" applyBorder="1" applyAlignment="1">
      <alignment horizontal="justify" vertical="center"/>
    </xf>
    <xf numFmtId="9" fontId="24" fillId="0" borderId="18" xfId="0" applyNumberFormat="1" applyFont="1" applyBorder="1" applyAlignment="1">
      <alignment horizontal="justify" vertical="center"/>
    </xf>
    <xf numFmtId="0" fontId="25" fillId="11" borderId="20" xfId="0" applyFont="1" applyFill="1" applyBorder="1" applyAlignment="1">
      <alignment horizontal="justify" vertical="center"/>
    </xf>
    <xf numFmtId="0" fontId="25" fillId="11" borderId="18" xfId="0" applyFont="1" applyFill="1" applyBorder="1" applyAlignment="1">
      <alignment horizontal="justify" vertical="center"/>
    </xf>
    <xf numFmtId="0" fontId="25" fillId="11" borderId="20" xfId="0" applyFont="1" applyFill="1" applyBorder="1" applyAlignment="1">
      <alignment horizontal="center" vertical="center" wrapText="1"/>
    </xf>
    <xf numFmtId="0" fontId="25" fillId="11" borderId="18" xfId="0" applyFont="1" applyFill="1" applyBorder="1" applyAlignment="1">
      <alignment horizontal="center" vertical="center" wrapText="1"/>
    </xf>
    <xf numFmtId="169" fontId="25" fillId="11" borderId="20" xfId="0" applyNumberFormat="1" applyFont="1" applyFill="1" applyBorder="1" applyAlignment="1">
      <alignment horizontal="center" vertical="center" wrapText="1"/>
    </xf>
    <xf numFmtId="169" fontId="25" fillId="11" borderId="18" xfId="0" applyNumberFormat="1" applyFont="1" applyFill="1" applyBorder="1" applyAlignment="1">
      <alignment horizontal="center" vertical="center" wrapText="1"/>
    </xf>
    <xf numFmtId="0" fontId="24" fillId="11" borderId="20" xfId="0" applyFont="1" applyFill="1" applyBorder="1" applyAlignment="1">
      <alignment horizontal="center" vertical="center"/>
    </xf>
    <xf numFmtId="0" fontId="24" fillId="11" borderId="18" xfId="0" applyFont="1" applyFill="1" applyBorder="1" applyAlignment="1">
      <alignment horizontal="center" vertical="center"/>
    </xf>
    <xf numFmtId="6" fontId="24" fillId="11" borderId="20" xfId="0" applyNumberFormat="1" applyFont="1" applyFill="1" applyBorder="1" applyAlignment="1">
      <alignment horizontal="justify" vertical="center"/>
    </xf>
    <xf numFmtId="6" fontId="24" fillId="11" borderId="18" xfId="0" applyNumberFormat="1" applyFont="1" applyFill="1" applyBorder="1" applyAlignment="1">
      <alignment horizontal="justify" vertical="center"/>
    </xf>
    <xf numFmtId="6" fontId="25" fillId="11" borderId="20" xfId="0" applyNumberFormat="1" applyFont="1" applyFill="1" applyBorder="1" applyAlignment="1">
      <alignment horizontal="justify" vertical="center"/>
    </xf>
    <xf numFmtId="6" fontId="25" fillId="11" borderId="18" xfId="0" applyNumberFormat="1" applyFont="1" applyFill="1" applyBorder="1" applyAlignment="1">
      <alignment horizontal="justify" vertical="center"/>
    </xf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nazyk/Desktop/WDRA&#379;ANIE%202016-2022/LSR%20PO%20AKTUALIZACJACH/VII%202017/WNIOSEK%20O%20ZMIAN&#280;/I%20uzupe&#322;nienia_e-mail_2017-08-30/18_07_2017%20Bud&#380;et%20LSR_spad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 VII 2017"/>
      <sheetName val="tab. 32 plan finasowy VII 2017"/>
      <sheetName val="Kwoty z harmonogramu VII 2017"/>
      <sheetName val="tabela 35 LSR upro VII 2017"/>
      <sheetName val="tabela 34 - il m. pra VII 2017"/>
      <sheetName val="wyliczenie miejsc pracy"/>
      <sheetName val="Budżet02.2017  "/>
      <sheetName val="BUDŻET lsr PO ZMIANACH 09.2016 "/>
      <sheetName val="budżet po zmianach 02.2017 "/>
      <sheetName val="Arkusz1"/>
    </sheetNames>
    <sheetDataSet>
      <sheetData sheetId="0"/>
      <sheetData sheetId="1">
        <row r="4">
          <cell r="M4">
            <v>5.333333333333333</v>
          </cell>
          <cell r="N4">
            <v>1600000</v>
          </cell>
        </row>
        <row r="8">
          <cell r="M8">
            <v>3</v>
          </cell>
          <cell r="N8">
            <v>900000</v>
          </cell>
        </row>
        <row r="13">
          <cell r="M13">
            <v>5.333333333333333</v>
          </cell>
          <cell r="N13">
            <v>1600000</v>
          </cell>
        </row>
        <row r="14">
          <cell r="M14">
            <v>4</v>
          </cell>
          <cell r="N14">
            <v>1300000</v>
          </cell>
        </row>
        <row r="17">
          <cell r="M17">
            <v>10</v>
          </cell>
          <cell r="N17">
            <v>1800000</v>
          </cell>
        </row>
        <row r="18">
          <cell r="M18">
            <v>6</v>
          </cell>
          <cell r="N18">
            <v>1800000</v>
          </cell>
        </row>
        <row r="21">
          <cell r="M21">
            <v>11</v>
          </cell>
          <cell r="N21">
            <v>1100000</v>
          </cell>
        </row>
        <row r="22">
          <cell r="M22">
            <v>6</v>
          </cell>
          <cell r="N22">
            <v>1800000</v>
          </cell>
        </row>
        <row r="42">
          <cell r="M42">
            <v>0</v>
          </cell>
          <cell r="N42">
            <v>0</v>
          </cell>
        </row>
        <row r="56">
          <cell r="M56">
            <v>8.4427870333333335</v>
          </cell>
          <cell r="N56">
            <v>2532836.11</v>
          </cell>
        </row>
        <row r="65">
          <cell r="P65">
            <v>11220000</v>
          </cell>
        </row>
      </sheetData>
      <sheetData sheetId="2"/>
      <sheetData sheetId="3"/>
      <sheetData sheetId="4"/>
      <sheetData sheetId="5"/>
      <sheetData sheetId="6">
        <row r="25">
          <cell r="I25">
            <v>23</v>
          </cell>
          <cell r="K25">
            <v>2900000</v>
          </cell>
          <cell r="M25">
            <v>30</v>
          </cell>
          <cell r="O25">
            <v>3600000</v>
          </cell>
        </row>
        <row r="27">
          <cell r="W27">
            <v>21</v>
          </cell>
          <cell r="Y27">
            <v>3800000</v>
          </cell>
          <cell r="AA27">
            <v>6</v>
          </cell>
          <cell r="AC27">
            <v>1500000</v>
          </cell>
        </row>
        <row r="38">
          <cell r="A38">
            <v>9</v>
          </cell>
        </row>
        <row r="64">
          <cell r="D64">
            <v>2284000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AF48"/>
  <sheetViews>
    <sheetView view="pageBreakPreview" topLeftCell="N35" zoomScaleNormal="100" zoomScaleSheetLayoutView="100" workbookViewId="0">
      <selection activeCell="S38" sqref="S38"/>
    </sheetView>
  </sheetViews>
  <sheetFormatPr defaultRowHeight="15" x14ac:dyDescent="0.25"/>
  <cols>
    <col min="1" max="1" width="4.85546875" style="2" customWidth="1"/>
    <col min="2" max="2" width="12.140625" style="2" customWidth="1"/>
    <col min="3" max="3" width="14.7109375" style="2" customWidth="1"/>
    <col min="4" max="5" width="9.140625" style="2"/>
    <col min="6" max="6" width="9.85546875" style="2" customWidth="1"/>
    <col min="7" max="7" width="9.85546875" style="2" hidden="1" customWidth="1"/>
    <col min="8" max="8" width="9.140625" style="2"/>
    <col min="9" max="9" width="13.42578125" style="2" hidden="1" customWidth="1"/>
    <col min="10" max="10" width="13.42578125" style="2" customWidth="1"/>
    <col min="11" max="11" width="14.140625" style="2" customWidth="1"/>
    <col min="12" max="12" width="17.28515625" style="2" customWidth="1"/>
    <col min="13" max="14" width="9.140625" style="2"/>
    <col min="15" max="15" width="9.85546875" style="2" customWidth="1"/>
    <col min="16" max="16" width="9.85546875" style="2" hidden="1" customWidth="1"/>
    <col min="17" max="17" width="9.140625" style="2"/>
    <col min="18" max="18" width="13.42578125" style="2" hidden="1" customWidth="1"/>
    <col min="19" max="19" width="13.42578125" style="2" customWidth="1"/>
    <col min="20" max="20" width="17.140625" style="2" customWidth="1"/>
    <col min="21" max="21" width="20.42578125" style="2" customWidth="1"/>
    <col min="22" max="23" width="21.140625" style="2" customWidth="1"/>
    <col min="24" max="24" width="33.28515625" style="2" customWidth="1"/>
    <col min="25" max="26" width="9.140625" style="2"/>
    <col min="27" max="27" width="9.85546875" style="2" customWidth="1"/>
    <col min="28" max="28" width="9.85546875" style="2" hidden="1" customWidth="1"/>
    <col min="29" max="29" width="9.42578125" style="2" customWidth="1"/>
    <col min="30" max="31" width="12.7109375" style="2" hidden="1" customWidth="1"/>
    <col min="32" max="32" width="12.7109375" style="2" customWidth="1"/>
    <col min="33" max="33" width="4.42578125" style="2" customWidth="1"/>
    <col min="34" max="16384" width="9.140625" style="2"/>
  </cols>
  <sheetData>
    <row r="2" spans="2:32" x14ac:dyDescent="0.25">
      <c r="B2" s="1" t="s">
        <v>0</v>
      </c>
      <c r="C2" s="213" t="s">
        <v>1</v>
      </c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5"/>
      <c r="AF2" s="1"/>
    </row>
    <row r="3" spans="2:32" x14ac:dyDescent="0.25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6"/>
      <c r="AF3" s="7"/>
    </row>
    <row r="4" spans="2:32" ht="54" customHeight="1" x14ac:dyDescent="0.25">
      <c r="B4" s="216" t="s">
        <v>2</v>
      </c>
      <c r="C4" s="217" t="s">
        <v>3</v>
      </c>
      <c r="D4" s="212" t="s">
        <v>4</v>
      </c>
      <c r="E4" s="212" t="s">
        <v>5</v>
      </c>
      <c r="F4" s="212" t="s">
        <v>6</v>
      </c>
      <c r="G4" s="212" t="s">
        <v>7</v>
      </c>
      <c r="H4" s="212" t="s">
        <v>8</v>
      </c>
      <c r="I4" s="217" t="s">
        <v>9</v>
      </c>
      <c r="J4" s="217" t="s">
        <v>10</v>
      </c>
      <c r="K4" s="232" t="s">
        <v>11</v>
      </c>
      <c r="L4" s="217" t="s">
        <v>12</v>
      </c>
      <c r="M4" s="212" t="s">
        <v>4</v>
      </c>
      <c r="N4" s="212" t="s">
        <v>5</v>
      </c>
      <c r="O4" s="212" t="s">
        <v>6</v>
      </c>
      <c r="P4" s="212" t="s">
        <v>7</v>
      </c>
      <c r="Q4" s="212" t="s">
        <v>8</v>
      </c>
      <c r="R4" s="217" t="s">
        <v>9</v>
      </c>
      <c r="S4" s="217" t="s">
        <v>10</v>
      </c>
      <c r="T4" s="231" t="s">
        <v>13</v>
      </c>
      <c r="U4" s="218" t="s">
        <v>14</v>
      </c>
      <c r="V4" s="218" t="s">
        <v>15</v>
      </c>
      <c r="W4" s="229" t="s">
        <v>233</v>
      </c>
      <c r="X4" s="218" t="s">
        <v>19</v>
      </c>
      <c r="Y4" s="212" t="s">
        <v>21</v>
      </c>
      <c r="Z4" s="212" t="s">
        <v>5</v>
      </c>
      <c r="AA4" s="212" t="s">
        <v>6</v>
      </c>
      <c r="AB4" s="212" t="s">
        <v>7</v>
      </c>
      <c r="AC4" s="212" t="s">
        <v>8</v>
      </c>
      <c r="AD4" s="218" t="s">
        <v>9</v>
      </c>
      <c r="AE4" s="218"/>
      <c r="AF4" s="219" t="s">
        <v>10</v>
      </c>
    </row>
    <row r="5" spans="2:32" x14ac:dyDescent="0.25">
      <c r="B5" s="216"/>
      <c r="C5" s="217"/>
      <c r="D5" s="212"/>
      <c r="E5" s="212"/>
      <c r="F5" s="212"/>
      <c r="G5" s="212"/>
      <c r="H5" s="212"/>
      <c r="I5" s="217"/>
      <c r="J5" s="217"/>
      <c r="K5" s="232"/>
      <c r="L5" s="217"/>
      <c r="M5" s="212"/>
      <c r="N5" s="212"/>
      <c r="O5" s="212"/>
      <c r="P5" s="212"/>
      <c r="Q5" s="212"/>
      <c r="R5" s="217"/>
      <c r="S5" s="217"/>
      <c r="T5" s="231"/>
      <c r="U5" s="218"/>
      <c r="V5" s="218"/>
      <c r="W5" s="230"/>
      <c r="X5" s="218"/>
      <c r="Y5" s="212"/>
      <c r="Z5" s="212"/>
      <c r="AA5" s="212"/>
      <c r="AB5" s="212"/>
      <c r="AC5" s="212"/>
      <c r="AD5" s="9" t="s">
        <v>22</v>
      </c>
      <c r="AE5" s="9" t="s">
        <v>23</v>
      </c>
      <c r="AF5" s="220"/>
    </row>
    <row r="6" spans="2:32" ht="58.5" customHeight="1" x14ac:dyDescent="0.25">
      <c r="B6" s="221" t="s">
        <v>24</v>
      </c>
      <c r="C6" s="223" t="s">
        <v>25</v>
      </c>
      <c r="D6" s="226"/>
      <c r="E6" s="226" t="s">
        <v>26</v>
      </c>
      <c r="F6" s="226">
        <v>26</v>
      </c>
      <c r="G6" s="226"/>
      <c r="H6" s="226">
        <v>26</v>
      </c>
      <c r="I6" s="223"/>
      <c r="J6" s="223" t="s">
        <v>27</v>
      </c>
      <c r="K6" s="234" t="s">
        <v>28</v>
      </c>
      <c r="L6" s="223" t="s">
        <v>234</v>
      </c>
      <c r="M6" s="226"/>
      <c r="N6" s="226" t="s">
        <v>26</v>
      </c>
      <c r="O6" s="226">
        <v>0</v>
      </c>
      <c r="P6" s="226"/>
      <c r="Q6" s="226">
        <v>8</v>
      </c>
      <c r="R6" s="223"/>
      <c r="S6" s="223" t="s">
        <v>31</v>
      </c>
      <c r="T6" s="233" t="s">
        <v>32</v>
      </c>
      <c r="U6" s="11" t="s">
        <v>235</v>
      </c>
      <c r="V6" s="11" t="s">
        <v>34</v>
      </c>
      <c r="W6" s="11">
        <v>1600000</v>
      </c>
      <c r="X6" s="11" t="s">
        <v>236</v>
      </c>
      <c r="Y6" s="13"/>
      <c r="Z6" s="13" t="s">
        <v>26</v>
      </c>
      <c r="AA6" s="13">
        <v>0</v>
      </c>
      <c r="AB6" s="13"/>
      <c r="AC6" s="13">
        <v>8</v>
      </c>
      <c r="AD6" s="11"/>
      <c r="AE6" s="11"/>
      <c r="AF6" s="11" t="s">
        <v>37</v>
      </c>
    </row>
    <row r="7" spans="2:32" ht="73.5" customHeight="1" x14ac:dyDescent="0.25">
      <c r="B7" s="222"/>
      <c r="C7" s="224"/>
      <c r="D7" s="227"/>
      <c r="E7" s="227"/>
      <c r="F7" s="227"/>
      <c r="G7" s="227"/>
      <c r="H7" s="227"/>
      <c r="I7" s="224"/>
      <c r="J7" s="224"/>
      <c r="K7" s="235"/>
      <c r="L7" s="225"/>
      <c r="M7" s="228"/>
      <c r="N7" s="228"/>
      <c r="O7" s="228"/>
      <c r="P7" s="228"/>
      <c r="Q7" s="228"/>
      <c r="R7" s="225"/>
      <c r="S7" s="225"/>
      <c r="T7" s="233"/>
      <c r="U7" s="11" t="s">
        <v>237</v>
      </c>
      <c r="V7" s="11" t="s">
        <v>38</v>
      </c>
      <c r="W7" s="11"/>
      <c r="X7" s="11" t="s">
        <v>39</v>
      </c>
      <c r="Y7" s="13"/>
      <c r="Z7" s="13" t="s">
        <v>26</v>
      </c>
      <c r="AA7" s="13">
        <v>0</v>
      </c>
      <c r="AB7" s="13"/>
      <c r="AC7" s="13">
        <v>20</v>
      </c>
      <c r="AD7" s="11"/>
      <c r="AE7" s="11"/>
      <c r="AF7" s="11" t="s">
        <v>40</v>
      </c>
    </row>
    <row r="8" spans="2:32" ht="63.75" x14ac:dyDescent="0.25">
      <c r="B8" s="222"/>
      <c r="C8" s="224"/>
      <c r="D8" s="227"/>
      <c r="E8" s="227"/>
      <c r="F8" s="227"/>
      <c r="G8" s="227"/>
      <c r="H8" s="227"/>
      <c r="I8" s="224"/>
      <c r="J8" s="224"/>
      <c r="K8" s="235"/>
      <c r="L8" s="18" t="s">
        <v>238</v>
      </c>
      <c r="M8" s="13"/>
      <c r="N8" s="13" t="s">
        <v>26</v>
      </c>
      <c r="O8" s="13">
        <v>0</v>
      </c>
      <c r="P8" s="13"/>
      <c r="Q8" s="13">
        <v>6</v>
      </c>
      <c r="R8" s="18"/>
      <c r="S8" s="18" t="s">
        <v>42</v>
      </c>
      <c r="T8" s="233" t="s">
        <v>43</v>
      </c>
      <c r="U8" s="11" t="s">
        <v>239</v>
      </c>
      <c r="V8" s="11" t="s">
        <v>45</v>
      </c>
      <c r="W8" s="11">
        <v>900000</v>
      </c>
      <c r="X8" s="11" t="s">
        <v>240</v>
      </c>
      <c r="Y8" s="13"/>
      <c r="Z8" s="13" t="s">
        <v>26</v>
      </c>
      <c r="AA8" s="13">
        <v>0</v>
      </c>
      <c r="AB8" s="13"/>
      <c r="AC8" s="13">
        <v>6</v>
      </c>
      <c r="AD8" s="11"/>
      <c r="AE8" s="11"/>
      <c r="AF8" s="11" t="s">
        <v>48</v>
      </c>
    </row>
    <row r="9" spans="2:32" ht="191.25" x14ac:dyDescent="0.25">
      <c r="B9" s="222"/>
      <c r="C9" s="225"/>
      <c r="D9" s="228"/>
      <c r="E9" s="228"/>
      <c r="F9" s="228"/>
      <c r="G9" s="228"/>
      <c r="H9" s="228"/>
      <c r="I9" s="225"/>
      <c r="J9" s="225"/>
      <c r="K9" s="236"/>
      <c r="L9" s="18" t="s">
        <v>49</v>
      </c>
      <c r="M9" s="13"/>
      <c r="N9" s="13" t="s">
        <v>50</v>
      </c>
      <c r="O9" s="13">
        <v>0</v>
      </c>
      <c r="P9" s="13"/>
      <c r="Q9" s="13">
        <v>50</v>
      </c>
      <c r="R9" s="18"/>
      <c r="S9" s="18" t="s">
        <v>51</v>
      </c>
      <c r="T9" s="233"/>
      <c r="U9" s="11" t="s">
        <v>52</v>
      </c>
      <c r="V9" s="11" t="s">
        <v>53</v>
      </c>
      <c r="W9" s="11"/>
      <c r="X9" s="11" t="s">
        <v>54</v>
      </c>
      <c r="Y9" s="13"/>
      <c r="Z9" s="13" t="s">
        <v>26</v>
      </c>
      <c r="AA9" s="13">
        <v>0</v>
      </c>
      <c r="AB9" s="13"/>
      <c r="AC9" s="13">
        <v>20</v>
      </c>
      <c r="AD9" s="11"/>
      <c r="AE9" s="11"/>
      <c r="AF9" s="11" t="s">
        <v>40</v>
      </c>
    </row>
    <row r="10" spans="2:32" ht="51" x14ac:dyDescent="0.25">
      <c r="B10" s="222"/>
      <c r="C10" s="223" t="s">
        <v>241</v>
      </c>
      <c r="D10" s="226"/>
      <c r="E10" s="226" t="s">
        <v>26</v>
      </c>
      <c r="F10" s="226">
        <v>22913</v>
      </c>
      <c r="G10" s="226"/>
      <c r="H10" s="226">
        <v>32241</v>
      </c>
      <c r="I10" s="223"/>
      <c r="J10" s="223" t="s">
        <v>57</v>
      </c>
      <c r="K10" s="237" t="s">
        <v>58</v>
      </c>
      <c r="L10" s="238" t="s">
        <v>242</v>
      </c>
      <c r="M10" s="239"/>
      <c r="N10" s="239" t="s">
        <v>26</v>
      </c>
      <c r="O10" s="239">
        <v>0</v>
      </c>
      <c r="P10" s="239"/>
      <c r="Q10" s="239">
        <v>31</v>
      </c>
      <c r="R10" s="238"/>
      <c r="S10" s="238" t="s">
        <v>42</v>
      </c>
      <c r="T10" s="233" t="s">
        <v>60</v>
      </c>
      <c r="U10" s="11" t="s">
        <v>61</v>
      </c>
      <c r="V10" s="11" t="s">
        <v>243</v>
      </c>
      <c r="W10" s="11">
        <v>1600000</v>
      </c>
      <c r="X10" s="11" t="s">
        <v>244</v>
      </c>
      <c r="Y10" s="13"/>
      <c r="Z10" s="13" t="s">
        <v>26</v>
      </c>
      <c r="AA10" s="13">
        <v>0</v>
      </c>
      <c r="AB10" s="13"/>
      <c r="AC10" s="13">
        <v>8</v>
      </c>
      <c r="AD10" s="11"/>
      <c r="AE10" s="11"/>
      <c r="AF10" s="11" t="s">
        <v>37</v>
      </c>
    </row>
    <row r="11" spans="2:32" ht="51" x14ac:dyDescent="0.25">
      <c r="B11" s="222"/>
      <c r="C11" s="224"/>
      <c r="D11" s="227"/>
      <c r="E11" s="227"/>
      <c r="F11" s="227"/>
      <c r="G11" s="227"/>
      <c r="H11" s="227"/>
      <c r="I11" s="224"/>
      <c r="J11" s="224"/>
      <c r="K11" s="237"/>
      <c r="L11" s="238"/>
      <c r="M11" s="239"/>
      <c r="N11" s="239"/>
      <c r="O11" s="239"/>
      <c r="P11" s="239"/>
      <c r="Q11" s="239"/>
      <c r="R11" s="238"/>
      <c r="S11" s="238"/>
      <c r="T11" s="233"/>
      <c r="U11" s="11" t="s">
        <v>64</v>
      </c>
      <c r="V11" s="11" t="s">
        <v>65</v>
      </c>
      <c r="W11" s="11">
        <v>130000</v>
      </c>
      <c r="X11" s="11" t="s">
        <v>66</v>
      </c>
      <c r="Y11" s="13"/>
      <c r="Z11" s="13" t="s">
        <v>26</v>
      </c>
      <c r="AA11" s="13">
        <v>0</v>
      </c>
      <c r="AB11" s="13"/>
      <c r="AC11" s="13">
        <v>5</v>
      </c>
      <c r="AD11" s="11"/>
      <c r="AE11" s="11"/>
      <c r="AF11" s="11" t="s">
        <v>48</v>
      </c>
    </row>
    <row r="12" spans="2:32" ht="54.75" customHeight="1" x14ac:dyDescent="0.25">
      <c r="B12" s="222"/>
      <c r="C12" s="224"/>
      <c r="D12" s="227"/>
      <c r="E12" s="227"/>
      <c r="F12" s="227"/>
      <c r="G12" s="227"/>
      <c r="H12" s="227"/>
      <c r="I12" s="224"/>
      <c r="J12" s="224"/>
      <c r="K12" s="237"/>
      <c r="L12" s="238"/>
      <c r="M12" s="239"/>
      <c r="N12" s="239"/>
      <c r="O12" s="239"/>
      <c r="P12" s="239"/>
      <c r="Q12" s="239"/>
      <c r="R12" s="238"/>
      <c r="S12" s="238"/>
      <c r="T12" s="233"/>
      <c r="U12" s="11" t="s">
        <v>64</v>
      </c>
      <c r="V12" s="11" t="s">
        <v>67</v>
      </c>
      <c r="W12" s="11"/>
      <c r="X12" s="11" t="s">
        <v>68</v>
      </c>
      <c r="Y12" s="13"/>
      <c r="Z12" s="13" t="s">
        <v>26</v>
      </c>
      <c r="AA12" s="13">
        <v>0</v>
      </c>
      <c r="AB12" s="13"/>
      <c r="AC12" s="13">
        <v>20</v>
      </c>
      <c r="AD12" s="11"/>
      <c r="AE12" s="11"/>
      <c r="AF12" s="11" t="s">
        <v>40</v>
      </c>
    </row>
    <row r="13" spans="2:32" ht="76.5" x14ac:dyDescent="0.25">
      <c r="B13" s="222"/>
      <c r="C13" s="224"/>
      <c r="D13" s="227"/>
      <c r="E13" s="227"/>
      <c r="F13" s="227"/>
      <c r="G13" s="227"/>
      <c r="H13" s="227"/>
      <c r="I13" s="224"/>
      <c r="J13" s="224"/>
      <c r="K13" s="237"/>
      <c r="L13" s="238"/>
      <c r="M13" s="239"/>
      <c r="N13" s="239"/>
      <c r="O13" s="239"/>
      <c r="P13" s="239"/>
      <c r="Q13" s="239"/>
      <c r="R13" s="238"/>
      <c r="S13" s="238"/>
      <c r="T13" s="233" t="s">
        <v>69</v>
      </c>
      <c r="U13" s="11" t="s">
        <v>245</v>
      </c>
      <c r="V13" s="11" t="s">
        <v>246</v>
      </c>
      <c r="W13" s="11">
        <v>1800000</v>
      </c>
      <c r="X13" s="11" t="s">
        <v>247</v>
      </c>
      <c r="Y13" s="13"/>
      <c r="Z13" s="13" t="s">
        <v>26</v>
      </c>
      <c r="AA13" s="13">
        <v>0</v>
      </c>
      <c r="AB13" s="13"/>
      <c r="AC13" s="13">
        <v>12</v>
      </c>
      <c r="AD13" s="11"/>
      <c r="AE13" s="11"/>
      <c r="AF13" s="11" t="s">
        <v>48</v>
      </c>
    </row>
    <row r="14" spans="2:32" ht="63.75" x14ac:dyDescent="0.25">
      <c r="B14" s="222"/>
      <c r="C14" s="224"/>
      <c r="D14" s="227"/>
      <c r="E14" s="227"/>
      <c r="F14" s="227"/>
      <c r="G14" s="227"/>
      <c r="H14" s="227"/>
      <c r="I14" s="224"/>
      <c r="J14" s="224"/>
      <c r="K14" s="237"/>
      <c r="L14" s="238" t="s">
        <v>248</v>
      </c>
      <c r="M14" s="239"/>
      <c r="N14" s="239" t="s">
        <v>26</v>
      </c>
      <c r="O14" s="239">
        <v>131</v>
      </c>
      <c r="P14" s="239"/>
      <c r="Q14" s="239">
        <v>200</v>
      </c>
      <c r="R14" s="238"/>
      <c r="S14" s="238" t="s">
        <v>75</v>
      </c>
      <c r="T14" s="233"/>
      <c r="U14" s="11" t="s">
        <v>249</v>
      </c>
      <c r="V14" s="11" t="s">
        <v>250</v>
      </c>
      <c r="W14" s="11">
        <v>1800000</v>
      </c>
      <c r="X14" s="11" t="s">
        <v>251</v>
      </c>
      <c r="Y14" s="13"/>
      <c r="Z14" s="13" t="s">
        <v>26</v>
      </c>
      <c r="AA14" s="13">
        <v>0</v>
      </c>
      <c r="AB14" s="13"/>
      <c r="AC14" s="13">
        <v>15</v>
      </c>
      <c r="AD14" s="11"/>
      <c r="AE14" s="11"/>
      <c r="AF14" s="11" t="s">
        <v>48</v>
      </c>
    </row>
    <row r="15" spans="2:32" ht="50.25" customHeight="1" x14ac:dyDescent="0.25">
      <c r="B15" s="222"/>
      <c r="C15" s="225"/>
      <c r="D15" s="228"/>
      <c r="E15" s="228"/>
      <c r="F15" s="228"/>
      <c r="G15" s="228"/>
      <c r="H15" s="228"/>
      <c r="I15" s="225"/>
      <c r="J15" s="225"/>
      <c r="K15" s="237"/>
      <c r="L15" s="238"/>
      <c r="M15" s="239"/>
      <c r="N15" s="239"/>
      <c r="O15" s="239"/>
      <c r="P15" s="239"/>
      <c r="Q15" s="239"/>
      <c r="R15" s="238"/>
      <c r="S15" s="238"/>
      <c r="T15" s="233"/>
      <c r="U15" s="11" t="s">
        <v>84</v>
      </c>
      <c r="V15" s="11" t="s">
        <v>85</v>
      </c>
      <c r="W15" s="11"/>
      <c r="X15" s="11" t="s">
        <v>86</v>
      </c>
      <c r="Y15" s="13"/>
      <c r="Z15" s="13" t="s">
        <v>26</v>
      </c>
      <c r="AA15" s="13">
        <v>0</v>
      </c>
      <c r="AB15" s="13"/>
      <c r="AC15" s="13">
        <v>30</v>
      </c>
      <c r="AD15" s="11"/>
      <c r="AE15" s="11"/>
      <c r="AF15" s="11" t="s">
        <v>87</v>
      </c>
    </row>
    <row r="16" spans="2:32" ht="51" x14ac:dyDescent="0.25">
      <c r="B16" s="222"/>
      <c r="C16" s="223" t="s">
        <v>93</v>
      </c>
      <c r="D16" s="226"/>
      <c r="E16" s="226" t="s">
        <v>26</v>
      </c>
      <c r="F16" s="226">
        <v>6346</v>
      </c>
      <c r="G16" s="226"/>
      <c r="H16" s="226">
        <v>6409</v>
      </c>
      <c r="I16" s="223"/>
      <c r="J16" s="223" t="s">
        <v>94</v>
      </c>
      <c r="K16" s="237"/>
      <c r="L16" s="223" t="s">
        <v>252</v>
      </c>
      <c r="M16" s="239"/>
      <c r="N16" s="239" t="s">
        <v>26</v>
      </c>
      <c r="O16" s="239">
        <v>0</v>
      </c>
      <c r="P16" s="239"/>
      <c r="Q16" s="239">
        <v>35</v>
      </c>
      <c r="R16" s="223"/>
      <c r="S16" s="223" t="s">
        <v>48</v>
      </c>
      <c r="T16" s="233" t="s">
        <v>96</v>
      </c>
      <c r="U16" s="11" t="s">
        <v>253</v>
      </c>
      <c r="V16" s="11" t="s">
        <v>254</v>
      </c>
      <c r="W16" s="11">
        <v>1100000</v>
      </c>
      <c r="X16" s="11" t="s">
        <v>255</v>
      </c>
      <c r="Y16" s="13"/>
      <c r="Z16" s="13" t="s">
        <v>26</v>
      </c>
      <c r="AA16" s="13">
        <v>0</v>
      </c>
      <c r="AB16" s="13"/>
      <c r="AC16" s="13">
        <v>11</v>
      </c>
      <c r="AD16" s="11"/>
      <c r="AE16" s="11"/>
      <c r="AF16" s="11" t="s">
        <v>37</v>
      </c>
    </row>
    <row r="17" spans="2:32" ht="51" x14ac:dyDescent="0.25">
      <c r="B17" s="222"/>
      <c r="C17" s="224"/>
      <c r="D17" s="227"/>
      <c r="E17" s="227"/>
      <c r="F17" s="227"/>
      <c r="G17" s="227"/>
      <c r="H17" s="227"/>
      <c r="I17" s="224"/>
      <c r="J17" s="224"/>
      <c r="K17" s="237"/>
      <c r="L17" s="224"/>
      <c r="M17" s="239"/>
      <c r="N17" s="239"/>
      <c r="O17" s="239"/>
      <c r="P17" s="239"/>
      <c r="Q17" s="239"/>
      <c r="R17" s="224"/>
      <c r="S17" s="224"/>
      <c r="T17" s="233"/>
      <c r="U17" s="11" t="s">
        <v>256</v>
      </c>
      <c r="V17" s="11" t="s">
        <v>257</v>
      </c>
      <c r="W17" s="11">
        <v>1800000</v>
      </c>
      <c r="X17" s="11" t="s">
        <v>258</v>
      </c>
      <c r="Y17" s="13"/>
      <c r="Z17" s="13" t="s">
        <v>26</v>
      </c>
      <c r="AA17" s="13">
        <v>0</v>
      </c>
      <c r="AB17" s="13"/>
      <c r="AC17" s="13">
        <v>15</v>
      </c>
      <c r="AD17" s="11"/>
      <c r="AE17" s="11"/>
      <c r="AF17" s="11" t="s">
        <v>37</v>
      </c>
    </row>
    <row r="18" spans="2:32" ht="63.75" x14ac:dyDescent="0.25">
      <c r="B18" s="222"/>
      <c r="C18" s="224"/>
      <c r="D18" s="227"/>
      <c r="E18" s="227"/>
      <c r="F18" s="227"/>
      <c r="G18" s="227"/>
      <c r="H18" s="227"/>
      <c r="I18" s="224"/>
      <c r="J18" s="224"/>
      <c r="K18" s="237"/>
      <c r="L18" s="238" t="s">
        <v>102</v>
      </c>
      <c r="M18" s="239"/>
      <c r="N18" s="239" t="s">
        <v>50</v>
      </c>
      <c r="O18" s="239">
        <v>0</v>
      </c>
      <c r="P18" s="239"/>
      <c r="Q18" s="239">
        <v>100</v>
      </c>
      <c r="R18" s="224"/>
      <c r="S18" s="238" t="s">
        <v>103</v>
      </c>
      <c r="T18" s="233"/>
      <c r="U18" s="11" t="s">
        <v>104</v>
      </c>
      <c r="V18" s="11" t="s">
        <v>105</v>
      </c>
      <c r="W18" s="11">
        <v>10000</v>
      </c>
      <c r="X18" s="11" t="s">
        <v>106</v>
      </c>
      <c r="Y18" s="13"/>
      <c r="Z18" s="13" t="s">
        <v>26</v>
      </c>
      <c r="AA18" s="13">
        <v>0</v>
      </c>
      <c r="AB18" s="13"/>
      <c r="AC18" s="13">
        <v>1</v>
      </c>
      <c r="AD18" s="11"/>
      <c r="AE18" s="11"/>
      <c r="AF18" s="11" t="s">
        <v>107</v>
      </c>
    </row>
    <row r="19" spans="2:32" ht="56.25" customHeight="1" x14ac:dyDescent="0.25">
      <c r="B19" s="222"/>
      <c r="C19" s="225"/>
      <c r="D19" s="228"/>
      <c r="E19" s="228"/>
      <c r="F19" s="228"/>
      <c r="G19" s="228"/>
      <c r="H19" s="228"/>
      <c r="I19" s="225"/>
      <c r="J19" s="225"/>
      <c r="K19" s="237"/>
      <c r="L19" s="238"/>
      <c r="M19" s="239"/>
      <c r="N19" s="239"/>
      <c r="O19" s="239"/>
      <c r="P19" s="239"/>
      <c r="Q19" s="239"/>
      <c r="R19" s="225"/>
      <c r="S19" s="238"/>
      <c r="T19" s="233"/>
      <c r="U19" s="11" t="s">
        <v>108</v>
      </c>
      <c r="V19" s="11" t="s">
        <v>109</v>
      </c>
      <c r="W19" s="11"/>
      <c r="X19" s="11" t="s">
        <v>110</v>
      </c>
      <c r="Y19" s="13"/>
      <c r="Z19" s="13" t="s">
        <v>26</v>
      </c>
      <c r="AA19" s="13">
        <v>0</v>
      </c>
      <c r="AB19" s="13"/>
      <c r="AC19" s="13">
        <v>50</v>
      </c>
      <c r="AD19" s="11"/>
      <c r="AE19" s="11"/>
      <c r="AF19" s="11" t="s">
        <v>87</v>
      </c>
    </row>
    <row r="20" spans="2:32" ht="114" customHeight="1" x14ac:dyDescent="0.25">
      <c r="B20" s="240" t="s">
        <v>111</v>
      </c>
      <c r="C20" s="223" t="s">
        <v>88</v>
      </c>
      <c r="D20" s="241"/>
      <c r="E20" s="241" t="s">
        <v>26</v>
      </c>
      <c r="F20" s="241">
        <v>17397</v>
      </c>
      <c r="G20" s="244"/>
      <c r="H20" s="241">
        <v>19984</v>
      </c>
      <c r="I20" s="238"/>
      <c r="J20" s="223" t="s">
        <v>259</v>
      </c>
      <c r="K20" s="237" t="s">
        <v>112</v>
      </c>
      <c r="L20" s="18" t="s">
        <v>152</v>
      </c>
      <c r="M20" s="23"/>
      <c r="N20" s="23" t="s">
        <v>26</v>
      </c>
      <c r="O20" s="23">
        <v>0</v>
      </c>
      <c r="P20" s="23"/>
      <c r="Q20" s="23">
        <v>40</v>
      </c>
      <c r="R20" s="18"/>
      <c r="S20" s="18" t="s">
        <v>153</v>
      </c>
      <c r="T20" s="233" t="s">
        <v>117</v>
      </c>
      <c r="U20" s="11" t="s">
        <v>260</v>
      </c>
      <c r="V20" s="11" t="s">
        <v>261</v>
      </c>
      <c r="W20" s="11">
        <v>320000</v>
      </c>
      <c r="X20" s="11" t="s">
        <v>262</v>
      </c>
      <c r="Y20" s="13"/>
      <c r="Z20" s="13" t="s">
        <v>263</v>
      </c>
      <c r="AA20" s="13">
        <v>0</v>
      </c>
      <c r="AB20" s="13"/>
      <c r="AC20" s="13">
        <v>60</v>
      </c>
      <c r="AD20" s="11"/>
      <c r="AE20" s="11"/>
      <c r="AF20" s="11" t="s">
        <v>122</v>
      </c>
    </row>
    <row r="21" spans="2:32" ht="107.25" customHeight="1" x14ac:dyDescent="0.25">
      <c r="B21" s="240"/>
      <c r="C21" s="224"/>
      <c r="D21" s="242"/>
      <c r="E21" s="242"/>
      <c r="F21" s="242"/>
      <c r="G21" s="244"/>
      <c r="H21" s="242"/>
      <c r="I21" s="238"/>
      <c r="J21" s="224"/>
      <c r="K21" s="237"/>
      <c r="L21" s="18" t="s">
        <v>264</v>
      </c>
      <c r="M21" s="23"/>
      <c r="N21" s="23" t="s">
        <v>26</v>
      </c>
      <c r="O21" s="23">
        <v>0</v>
      </c>
      <c r="P21" s="23"/>
      <c r="Q21" s="23">
        <v>50</v>
      </c>
      <c r="R21" s="18"/>
      <c r="S21" s="18" t="s">
        <v>48</v>
      </c>
      <c r="T21" s="233"/>
      <c r="U21" s="11" t="s">
        <v>126</v>
      </c>
      <c r="V21" s="11" t="s">
        <v>127</v>
      </c>
      <c r="W21" s="11"/>
      <c r="X21" s="11" t="s">
        <v>106</v>
      </c>
      <c r="Y21" s="13"/>
      <c r="Z21" s="13" t="s">
        <v>130</v>
      </c>
      <c r="AA21" s="13">
        <v>0</v>
      </c>
      <c r="AB21" s="13"/>
      <c r="AC21" s="13">
        <v>1</v>
      </c>
      <c r="AD21" s="11"/>
      <c r="AE21" s="11"/>
      <c r="AF21" s="11" t="s">
        <v>131</v>
      </c>
    </row>
    <row r="22" spans="2:32" ht="69" customHeight="1" x14ac:dyDescent="0.25">
      <c r="B22" s="240"/>
      <c r="C22" s="224"/>
      <c r="D22" s="242"/>
      <c r="E22" s="242"/>
      <c r="F22" s="242"/>
      <c r="G22" s="244"/>
      <c r="H22" s="242"/>
      <c r="I22" s="238"/>
      <c r="J22" s="224"/>
      <c r="K22" s="237"/>
      <c r="L22" s="18"/>
      <c r="M22" s="23"/>
      <c r="N22" s="23"/>
      <c r="O22" s="23"/>
      <c r="P22" s="23"/>
      <c r="Q22" s="23"/>
      <c r="R22" s="18"/>
      <c r="S22" s="18"/>
      <c r="T22" s="233"/>
      <c r="U22" s="11" t="s">
        <v>132</v>
      </c>
      <c r="V22" s="11" t="s">
        <v>133</v>
      </c>
      <c r="W22" s="11"/>
      <c r="X22" s="11" t="s">
        <v>134</v>
      </c>
      <c r="Y22" s="13"/>
      <c r="Z22" s="13" t="s">
        <v>26</v>
      </c>
      <c r="AA22" s="13">
        <v>0</v>
      </c>
      <c r="AB22" s="13"/>
      <c r="AC22" s="13">
        <v>20</v>
      </c>
      <c r="AD22" s="11"/>
      <c r="AE22" s="11"/>
      <c r="AF22" s="11" t="s">
        <v>87</v>
      </c>
    </row>
    <row r="23" spans="2:32" ht="100.5" customHeight="1" x14ac:dyDescent="0.25">
      <c r="B23" s="240"/>
      <c r="C23" s="224"/>
      <c r="D23" s="242"/>
      <c r="E23" s="242"/>
      <c r="F23" s="242"/>
      <c r="G23" s="244"/>
      <c r="H23" s="242"/>
      <c r="I23" s="238"/>
      <c r="J23" s="224"/>
      <c r="K23" s="237"/>
      <c r="L23" s="18" t="s">
        <v>265</v>
      </c>
      <c r="M23" s="13"/>
      <c r="N23" s="13" t="s">
        <v>26</v>
      </c>
      <c r="O23" s="13">
        <v>0</v>
      </c>
      <c r="P23" s="13"/>
      <c r="Q23" s="13">
        <v>30</v>
      </c>
      <c r="R23" s="238"/>
      <c r="S23" s="18" t="s">
        <v>266</v>
      </c>
      <c r="T23" s="233" t="s">
        <v>139</v>
      </c>
      <c r="U23" s="11" t="s">
        <v>140</v>
      </c>
      <c r="V23" s="11" t="s">
        <v>141</v>
      </c>
      <c r="W23" s="11">
        <f>1845644.55+118771.63</f>
        <v>1964416.1800000002</v>
      </c>
      <c r="X23" s="11" t="s">
        <v>267</v>
      </c>
      <c r="Y23" s="13"/>
      <c r="Z23" s="13" t="s">
        <v>26</v>
      </c>
      <c r="AA23" s="13">
        <v>0</v>
      </c>
      <c r="AB23" s="13"/>
      <c r="AC23" s="13">
        <v>6</v>
      </c>
      <c r="AD23" s="11"/>
      <c r="AE23" s="11"/>
      <c r="AF23" s="11" t="s">
        <v>48</v>
      </c>
    </row>
    <row r="24" spans="2:32" ht="89.25" x14ac:dyDescent="0.25">
      <c r="B24" s="240"/>
      <c r="C24" s="224"/>
      <c r="D24" s="242"/>
      <c r="E24" s="242"/>
      <c r="F24" s="242"/>
      <c r="G24" s="244"/>
      <c r="H24" s="242"/>
      <c r="I24" s="238"/>
      <c r="J24" s="224"/>
      <c r="K24" s="237"/>
      <c r="L24" s="18" t="s">
        <v>268</v>
      </c>
      <c r="M24" s="13"/>
      <c r="N24" s="13" t="s">
        <v>26</v>
      </c>
      <c r="O24" s="13">
        <v>0</v>
      </c>
      <c r="P24" s="13"/>
      <c r="Q24" s="13">
        <v>1000</v>
      </c>
      <c r="R24" s="238"/>
      <c r="S24" s="18" t="s">
        <v>48</v>
      </c>
      <c r="T24" s="233"/>
      <c r="U24" s="11" t="s">
        <v>140</v>
      </c>
      <c r="V24" s="11" t="s">
        <v>269</v>
      </c>
      <c r="W24" s="11">
        <v>300000</v>
      </c>
      <c r="X24" s="11" t="s">
        <v>270</v>
      </c>
      <c r="Y24" s="13"/>
      <c r="Z24" s="13" t="s">
        <v>26</v>
      </c>
      <c r="AA24" s="13">
        <v>0</v>
      </c>
      <c r="AB24" s="13"/>
      <c r="AC24" s="13">
        <v>30</v>
      </c>
      <c r="AD24" s="11"/>
      <c r="AE24" s="11"/>
      <c r="AF24" s="11" t="s">
        <v>48</v>
      </c>
    </row>
    <row r="25" spans="2:32" ht="102" x14ac:dyDescent="0.25">
      <c r="B25" s="240"/>
      <c r="C25" s="224"/>
      <c r="D25" s="242"/>
      <c r="E25" s="242"/>
      <c r="F25" s="242"/>
      <c r="G25" s="244"/>
      <c r="H25" s="242"/>
      <c r="I25" s="238"/>
      <c r="J25" s="224"/>
      <c r="K25" s="237"/>
      <c r="L25" s="18" t="s">
        <v>152</v>
      </c>
      <c r="M25" s="13"/>
      <c r="N25" s="13" t="s">
        <v>26</v>
      </c>
      <c r="O25" s="13">
        <v>0</v>
      </c>
      <c r="P25" s="13"/>
      <c r="Q25" s="13">
        <v>40</v>
      </c>
      <c r="R25" s="238"/>
      <c r="S25" s="18" t="s">
        <v>153</v>
      </c>
      <c r="T25" s="233"/>
      <c r="U25" s="11" t="s">
        <v>154</v>
      </c>
      <c r="V25" s="11" t="s">
        <v>133</v>
      </c>
      <c r="W25" s="11"/>
      <c r="X25" s="11" t="s">
        <v>155</v>
      </c>
      <c r="Y25" s="13"/>
      <c r="Z25" s="13" t="s">
        <v>156</v>
      </c>
      <c r="AA25" s="13">
        <v>0</v>
      </c>
      <c r="AB25" s="13"/>
      <c r="AC25" s="13">
        <v>25</v>
      </c>
      <c r="AD25" s="11"/>
      <c r="AE25" s="11"/>
      <c r="AF25" s="11" t="s">
        <v>87</v>
      </c>
    </row>
    <row r="26" spans="2:32" ht="72" customHeight="1" x14ac:dyDescent="0.25">
      <c r="B26" s="240"/>
      <c r="C26" s="225"/>
      <c r="D26" s="243"/>
      <c r="E26" s="243"/>
      <c r="F26" s="243"/>
      <c r="G26" s="244"/>
      <c r="H26" s="243"/>
      <c r="I26" s="238"/>
      <c r="J26" s="225"/>
      <c r="K26" s="237"/>
      <c r="L26" s="18" t="s">
        <v>157</v>
      </c>
      <c r="M26" s="13"/>
      <c r="N26" s="13" t="s">
        <v>26</v>
      </c>
      <c r="O26" s="13">
        <v>0</v>
      </c>
      <c r="P26" s="13"/>
      <c r="Q26" s="13">
        <v>500</v>
      </c>
      <c r="R26" s="238"/>
      <c r="S26" s="18" t="s">
        <v>158</v>
      </c>
      <c r="T26" s="233"/>
      <c r="U26" s="11" t="s">
        <v>159</v>
      </c>
      <c r="V26" s="11" t="s">
        <v>160</v>
      </c>
      <c r="W26" s="11">
        <v>11000</v>
      </c>
      <c r="X26" s="11" t="s">
        <v>161</v>
      </c>
      <c r="Y26" s="13"/>
      <c r="Z26" s="13" t="s">
        <v>26</v>
      </c>
      <c r="AA26" s="13">
        <v>0</v>
      </c>
      <c r="AB26" s="13"/>
      <c r="AC26" s="13">
        <v>1</v>
      </c>
      <c r="AD26" s="11"/>
      <c r="AE26" s="11"/>
      <c r="AF26" s="11" t="s">
        <v>162</v>
      </c>
    </row>
    <row r="27" spans="2:32" ht="114.75" x14ac:dyDescent="0.25">
      <c r="B27" s="240"/>
      <c r="C27" s="238" t="s">
        <v>271</v>
      </c>
      <c r="D27" s="244"/>
      <c r="E27" s="244" t="s">
        <v>26</v>
      </c>
      <c r="F27" s="244">
        <v>13508</v>
      </c>
      <c r="G27" s="244"/>
      <c r="H27" s="244">
        <v>19957</v>
      </c>
      <c r="I27" s="238"/>
      <c r="J27" s="238" t="s">
        <v>164</v>
      </c>
      <c r="K27" s="237"/>
      <c r="L27" s="18" t="s">
        <v>268</v>
      </c>
      <c r="M27" s="23"/>
      <c r="N27" s="23" t="s">
        <v>26</v>
      </c>
      <c r="O27" s="23">
        <v>0</v>
      </c>
      <c r="P27" s="23"/>
      <c r="Q27" s="27">
        <v>1000</v>
      </c>
      <c r="R27" s="18"/>
      <c r="S27" s="18" t="s">
        <v>48</v>
      </c>
      <c r="T27" s="233" t="s">
        <v>167</v>
      </c>
      <c r="U27" s="11" t="s">
        <v>219</v>
      </c>
      <c r="V27" s="11" t="s">
        <v>169</v>
      </c>
      <c r="W27" s="11">
        <v>300000</v>
      </c>
      <c r="X27" s="11" t="s">
        <v>272</v>
      </c>
      <c r="Y27" s="13"/>
      <c r="Z27" s="13" t="s">
        <v>26</v>
      </c>
      <c r="AA27" s="13">
        <v>0</v>
      </c>
      <c r="AB27" s="13"/>
      <c r="AC27" s="13">
        <v>6</v>
      </c>
      <c r="AD27" s="11"/>
      <c r="AE27" s="11"/>
      <c r="AF27" s="11" t="s">
        <v>171</v>
      </c>
    </row>
    <row r="28" spans="2:32" ht="140.25" x14ac:dyDescent="0.25">
      <c r="B28" s="240"/>
      <c r="C28" s="238"/>
      <c r="D28" s="244"/>
      <c r="E28" s="244"/>
      <c r="F28" s="244"/>
      <c r="G28" s="244"/>
      <c r="H28" s="244"/>
      <c r="I28" s="238"/>
      <c r="J28" s="238"/>
      <c r="K28" s="237"/>
      <c r="L28" s="18" t="s">
        <v>172</v>
      </c>
      <c r="M28" s="23"/>
      <c r="N28" s="23" t="s">
        <v>26</v>
      </c>
      <c r="O28" s="23">
        <v>0</v>
      </c>
      <c r="P28" s="23"/>
      <c r="Q28" s="23">
        <v>20</v>
      </c>
      <c r="R28" s="18"/>
      <c r="S28" s="18" t="s">
        <v>131</v>
      </c>
      <c r="T28" s="233"/>
      <c r="U28" s="11" t="s">
        <v>273</v>
      </c>
      <c r="V28" s="11" t="s">
        <v>174</v>
      </c>
      <c r="W28" s="11">
        <v>216000</v>
      </c>
      <c r="X28" s="11" t="s">
        <v>175</v>
      </c>
      <c r="Y28" s="13"/>
      <c r="Z28" s="13" t="s">
        <v>26</v>
      </c>
      <c r="AA28" s="13">
        <v>0</v>
      </c>
      <c r="AB28" s="13"/>
      <c r="AC28" s="13">
        <v>3</v>
      </c>
      <c r="AD28" s="11"/>
      <c r="AE28" s="11"/>
      <c r="AF28" s="11" t="s">
        <v>176</v>
      </c>
    </row>
    <row r="29" spans="2:32" ht="124.5" customHeight="1" x14ac:dyDescent="0.25">
      <c r="B29" s="240"/>
      <c r="C29" s="238"/>
      <c r="D29" s="244"/>
      <c r="E29" s="244"/>
      <c r="F29" s="244"/>
      <c r="G29" s="244"/>
      <c r="H29" s="244"/>
      <c r="I29" s="238"/>
      <c r="J29" s="238"/>
      <c r="K29" s="237"/>
      <c r="L29" s="18" t="s">
        <v>274</v>
      </c>
      <c r="M29" s="23"/>
      <c r="N29" s="23" t="s">
        <v>26</v>
      </c>
      <c r="O29" s="23">
        <v>0</v>
      </c>
      <c r="P29" s="23"/>
      <c r="Q29" s="23">
        <v>20</v>
      </c>
      <c r="R29" s="18"/>
      <c r="S29" s="18" t="s">
        <v>275</v>
      </c>
      <c r="T29" s="233"/>
      <c r="U29" s="11" t="s">
        <v>276</v>
      </c>
      <c r="V29" s="11" t="s">
        <v>181</v>
      </c>
      <c r="W29" s="11">
        <f>6*45000</f>
        <v>270000</v>
      </c>
      <c r="X29" s="11" t="s">
        <v>277</v>
      </c>
      <c r="Y29" s="13"/>
      <c r="Z29" s="13" t="s">
        <v>26</v>
      </c>
      <c r="AA29" s="13">
        <v>10</v>
      </c>
      <c r="AB29" s="13"/>
      <c r="AC29" s="13">
        <v>16</v>
      </c>
      <c r="AD29" s="11"/>
      <c r="AE29" s="11"/>
      <c r="AF29" s="11" t="s">
        <v>183</v>
      </c>
    </row>
    <row r="30" spans="2:32" ht="127.5" x14ac:dyDescent="0.25">
      <c r="B30" s="240"/>
      <c r="C30" s="223" t="s">
        <v>278</v>
      </c>
      <c r="D30" s="241"/>
      <c r="E30" s="241" t="s">
        <v>56</v>
      </c>
      <c r="F30" s="241">
        <v>0.92</v>
      </c>
      <c r="G30" s="244"/>
      <c r="H30" s="241">
        <v>0.95</v>
      </c>
      <c r="I30" s="238"/>
      <c r="J30" s="223" t="s">
        <v>185</v>
      </c>
      <c r="K30" s="237" t="s">
        <v>186</v>
      </c>
      <c r="L30" s="18" t="s">
        <v>279</v>
      </c>
      <c r="M30" s="13"/>
      <c r="N30" s="13" t="s">
        <v>26</v>
      </c>
      <c r="O30" s="13">
        <v>0</v>
      </c>
      <c r="P30" s="13"/>
      <c r="Q30" s="13">
        <v>1000</v>
      </c>
      <c r="R30" s="18"/>
      <c r="S30" s="18" t="s">
        <v>188</v>
      </c>
      <c r="T30" s="233" t="s">
        <v>189</v>
      </c>
      <c r="U30" s="11" t="s">
        <v>190</v>
      </c>
      <c r="V30" s="11" t="s">
        <v>191</v>
      </c>
      <c r="W30" s="11">
        <f>6*43000</f>
        <v>258000</v>
      </c>
      <c r="X30" s="11" t="s">
        <v>280</v>
      </c>
      <c r="Y30" s="13"/>
      <c r="Z30" s="13" t="s">
        <v>26</v>
      </c>
      <c r="AA30" s="13">
        <v>8</v>
      </c>
      <c r="AB30" s="13"/>
      <c r="AC30" s="13">
        <v>20</v>
      </c>
      <c r="AD30" s="11"/>
      <c r="AE30" s="11"/>
      <c r="AF30" s="11" t="s">
        <v>194</v>
      </c>
    </row>
    <row r="31" spans="2:32" ht="63.75" x14ac:dyDescent="0.25">
      <c r="B31" s="240"/>
      <c r="C31" s="224"/>
      <c r="D31" s="242"/>
      <c r="E31" s="242"/>
      <c r="F31" s="242"/>
      <c r="G31" s="244"/>
      <c r="H31" s="242"/>
      <c r="I31" s="238"/>
      <c r="J31" s="224"/>
      <c r="K31" s="237"/>
      <c r="L31" s="223" t="s">
        <v>281</v>
      </c>
      <c r="M31" s="226"/>
      <c r="N31" s="226" t="s">
        <v>26</v>
      </c>
      <c r="O31" s="226">
        <v>0</v>
      </c>
      <c r="P31" s="226"/>
      <c r="Q31" s="226">
        <v>30</v>
      </c>
      <c r="R31" s="223"/>
      <c r="S31" s="223" t="s">
        <v>199</v>
      </c>
      <c r="T31" s="233"/>
      <c r="U31" s="11" t="s">
        <v>200</v>
      </c>
      <c r="V31" s="11" t="s">
        <v>282</v>
      </c>
      <c r="W31" s="11">
        <v>210000</v>
      </c>
      <c r="X31" s="11" t="s">
        <v>283</v>
      </c>
      <c r="Y31" s="13"/>
      <c r="Z31" s="13" t="s">
        <v>26</v>
      </c>
      <c r="AA31" s="13">
        <v>1</v>
      </c>
      <c r="AB31" s="13"/>
      <c r="AC31" s="13">
        <v>2</v>
      </c>
      <c r="AD31" s="11"/>
      <c r="AE31" s="11"/>
      <c r="AF31" s="11" t="s">
        <v>203</v>
      </c>
    </row>
    <row r="32" spans="2:32" ht="63.75" customHeight="1" x14ac:dyDescent="0.25">
      <c r="B32" s="240"/>
      <c r="C32" s="224"/>
      <c r="D32" s="242"/>
      <c r="E32" s="242"/>
      <c r="F32" s="242"/>
      <c r="G32" s="244"/>
      <c r="H32" s="242"/>
      <c r="I32" s="238"/>
      <c r="J32" s="224"/>
      <c r="K32" s="237"/>
      <c r="L32" s="225"/>
      <c r="M32" s="228"/>
      <c r="N32" s="228"/>
      <c r="O32" s="228"/>
      <c r="P32" s="228"/>
      <c r="Q32" s="228"/>
      <c r="R32" s="225"/>
      <c r="S32" s="225"/>
      <c r="T32" s="233"/>
      <c r="U32" s="11" t="s">
        <v>200</v>
      </c>
      <c r="V32" s="11" t="s">
        <v>204</v>
      </c>
      <c r="W32" s="11"/>
      <c r="X32" s="11" t="s">
        <v>205</v>
      </c>
      <c r="Y32" s="13"/>
      <c r="Z32" s="13" t="s">
        <v>26</v>
      </c>
      <c r="AA32" s="13">
        <v>1</v>
      </c>
      <c r="AB32" s="13"/>
      <c r="AC32" s="13">
        <v>2</v>
      </c>
      <c r="AD32" s="11"/>
      <c r="AE32" s="11"/>
      <c r="AF32" s="11" t="s">
        <v>203</v>
      </c>
    </row>
    <row r="33" spans="2:32" ht="89.25" x14ac:dyDescent="0.25">
      <c r="B33" s="240"/>
      <c r="C33" s="224"/>
      <c r="D33" s="242"/>
      <c r="E33" s="242"/>
      <c r="F33" s="242"/>
      <c r="G33" s="244"/>
      <c r="H33" s="242"/>
      <c r="I33" s="238"/>
      <c r="J33" s="224"/>
      <c r="K33" s="237"/>
      <c r="L33" s="18" t="s">
        <v>284</v>
      </c>
      <c r="M33" s="13"/>
      <c r="N33" s="13" t="s">
        <v>26</v>
      </c>
      <c r="O33" s="13">
        <v>0</v>
      </c>
      <c r="P33" s="13"/>
      <c r="Q33" s="31">
        <v>8000</v>
      </c>
      <c r="R33" s="18"/>
      <c r="S33" s="18" t="s">
        <v>285</v>
      </c>
      <c r="T33" s="233" t="s">
        <v>208</v>
      </c>
      <c r="U33" s="11" t="s">
        <v>286</v>
      </c>
      <c r="V33" s="11" t="s">
        <v>210</v>
      </c>
      <c r="W33" s="11">
        <f>1377793.82+237770</f>
        <v>1615563.82</v>
      </c>
      <c r="X33" s="11" t="s">
        <v>287</v>
      </c>
      <c r="Y33" s="13"/>
      <c r="Z33" s="13" t="s">
        <v>26</v>
      </c>
      <c r="AA33" s="13">
        <v>0</v>
      </c>
      <c r="AB33" s="13"/>
      <c r="AC33" s="13">
        <v>9</v>
      </c>
      <c r="AD33" s="11"/>
      <c r="AE33" s="11"/>
      <c r="AF33" s="11" t="s">
        <v>48</v>
      </c>
    </row>
    <row r="34" spans="2:32" ht="127.5" x14ac:dyDescent="0.25">
      <c r="B34" s="240"/>
      <c r="C34" s="224"/>
      <c r="D34" s="242"/>
      <c r="E34" s="242"/>
      <c r="F34" s="242"/>
      <c r="G34" s="244"/>
      <c r="H34" s="242"/>
      <c r="I34" s="238"/>
      <c r="J34" s="224"/>
      <c r="K34" s="237"/>
      <c r="L34" s="18" t="s">
        <v>279</v>
      </c>
      <c r="M34" s="13"/>
      <c r="N34" s="13" t="s">
        <v>26</v>
      </c>
      <c r="O34" s="13">
        <v>0</v>
      </c>
      <c r="P34" s="13"/>
      <c r="Q34" s="31">
        <v>1000</v>
      </c>
      <c r="R34" s="18"/>
      <c r="S34" s="18" t="s">
        <v>188</v>
      </c>
      <c r="T34" s="233"/>
      <c r="U34" s="11" t="s">
        <v>288</v>
      </c>
      <c r="V34" s="11" t="s">
        <v>289</v>
      </c>
      <c r="W34" s="11">
        <v>31000</v>
      </c>
      <c r="X34" s="11" t="s">
        <v>290</v>
      </c>
      <c r="Y34" s="13"/>
      <c r="Z34" s="13" t="s">
        <v>26</v>
      </c>
      <c r="AA34" s="13">
        <v>0</v>
      </c>
      <c r="AB34" s="13"/>
      <c r="AC34" s="13">
        <v>1</v>
      </c>
      <c r="AD34" s="11"/>
      <c r="AE34" s="11"/>
      <c r="AF34" s="11" t="s">
        <v>131</v>
      </c>
    </row>
    <row r="35" spans="2:32" ht="89.25" x14ac:dyDescent="0.25">
      <c r="B35" s="240"/>
      <c r="C35" s="224"/>
      <c r="D35" s="242"/>
      <c r="E35" s="242"/>
      <c r="F35" s="242"/>
      <c r="G35" s="244"/>
      <c r="H35" s="242"/>
      <c r="I35" s="238"/>
      <c r="J35" s="224"/>
      <c r="K35" s="237"/>
      <c r="L35" s="18" t="s">
        <v>217</v>
      </c>
      <c r="M35" s="13"/>
      <c r="N35" s="13" t="s">
        <v>26</v>
      </c>
      <c r="O35" s="13">
        <v>0</v>
      </c>
      <c r="P35" s="13"/>
      <c r="Q35" s="13">
        <v>9</v>
      </c>
      <c r="R35" s="18"/>
      <c r="S35" s="18" t="s">
        <v>48</v>
      </c>
      <c r="T35" s="233" t="s">
        <v>218</v>
      </c>
      <c r="U35" s="11" t="s">
        <v>219</v>
      </c>
      <c r="V35" s="11" t="s">
        <v>220</v>
      </c>
      <c r="W35" s="11">
        <f>1798905+733931.11</f>
        <v>2532836.11</v>
      </c>
      <c r="X35" s="11" t="s">
        <v>291</v>
      </c>
      <c r="Y35" s="13"/>
      <c r="Z35" s="13" t="s">
        <v>26</v>
      </c>
      <c r="AA35" s="13">
        <v>0</v>
      </c>
      <c r="AB35" s="13"/>
      <c r="AC35" s="13">
        <v>9</v>
      </c>
      <c r="AD35" s="11"/>
      <c r="AE35" s="11"/>
      <c r="AF35" s="11" t="s">
        <v>48</v>
      </c>
    </row>
    <row r="36" spans="2:32" ht="63.75" x14ac:dyDescent="0.25">
      <c r="B36" s="240"/>
      <c r="C36" s="224"/>
      <c r="D36" s="242"/>
      <c r="E36" s="242"/>
      <c r="F36" s="242"/>
      <c r="G36" s="244"/>
      <c r="H36" s="242"/>
      <c r="I36" s="238"/>
      <c r="J36" s="224"/>
      <c r="K36" s="237"/>
      <c r="L36" s="18" t="s">
        <v>284</v>
      </c>
      <c r="M36" s="13"/>
      <c r="N36" s="13" t="s">
        <v>26</v>
      </c>
      <c r="O36" s="13">
        <v>0</v>
      </c>
      <c r="P36" s="13"/>
      <c r="Q36" s="31">
        <v>8000</v>
      </c>
      <c r="R36" s="18"/>
      <c r="S36" s="18" t="s">
        <v>292</v>
      </c>
      <c r="T36" s="233"/>
      <c r="U36" s="11" t="s">
        <v>222</v>
      </c>
      <c r="V36" s="11" t="s">
        <v>223</v>
      </c>
      <c r="W36" s="11">
        <v>2051163.89</v>
      </c>
      <c r="X36" s="11" t="s">
        <v>224</v>
      </c>
      <c r="Y36" s="13"/>
      <c r="Z36" s="13" t="s">
        <v>26</v>
      </c>
      <c r="AA36" s="13">
        <v>0</v>
      </c>
      <c r="AB36" s="13"/>
      <c r="AC36" s="13">
        <v>8</v>
      </c>
      <c r="AD36" s="11"/>
      <c r="AE36" s="11"/>
      <c r="AF36" s="11" t="s">
        <v>48</v>
      </c>
    </row>
    <row r="37" spans="2:32" ht="102" customHeight="1" x14ac:dyDescent="0.25">
      <c r="B37" s="240"/>
      <c r="C37" s="225"/>
      <c r="D37" s="243"/>
      <c r="E37" s="243"/>
      <c r="F37" s="243"/>
      <c r="G37" s="244"/>
      <c r="H37" s="243"/>
      <c r="I37" s="238"/>
      <c r="J37" s="225"/>
      <c r="K37" s="237"/>
      <c r="L37" s="18" t="s">
        <v>279</v>
      </c>
      <c r="M37" s="13"/>
      <c r="N37" s="13" t="s">
        <v>26</v>
      </c>
      <c r="O37" s="13">
        <v>0</v>
      </c>
      <c r="P37" s="13"/>
      <c r="Q37" s="31">
        <v>1000</v>
      </c>
      <c r="R37" s="18"/>
      <c r="S37" s="18" t="s">
        <v>188</v>
      </c>
      <c r="T37" s="233"/>
      <c r="U37" s="11" t="s">
        <v>293</v>
      </c>
      <c r="V37" s="11" t="s">
        <v>225</v>
      </c>
      <c r="W37" s="11">
        <v>30000</v>
      </c>
      <c r="X37" s="11" t="s">
        <v>290</v>
      </c>
      <c r="Y37" s="13"/>
      <c r="Z37" s="13" t="s">
        <v>26</v>
      </c>
      <c r="AA37" s="13">
        <v>0</v>
      </c>
      <c r="AB37" s="13"/>
      <c r="AC37" s="13">
        <v>1</v>
      </c>
      <c r="AD37" s="11"/>
      <c r="AE37" s="11"/>
      <c r="AF37" s="11" t="s">
        <v>131</v>
      </c>
    </row>
    <row r="41" spans="2:32" ht="15" customHeight="1" x14ac:dyDescent="0.25">
      <c r="B41" s="245" t="s">
        <v>227</v>
      </c>
      <c r="C41" s="246"/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7"/>
      <c r="AF41" s="33"/>
    </row>
    <row r="42" spans="2:32" ht="28.5" customHeight="1" x14ac:dyDescent="0.25">
      <c r="B42" s="248" t="s">
        <v>228</v>
      </c>
      <c r="C42" s="249"/>
      <c r="D42" s="249"/>
      <c r="E42" s="249"/>
      <c r="F42" s="249"/>
      <c r="G42" s="249"/>
      <c r="H42" s="249"/>
      <c r="I42" s="249"/>
      <c r="J42" s="249"/>
      <c r="K42" s="249"/>
      <c r="L42" s="249"/>
      <c r="M42" s="249"/>
      <c r="N42" s="249"/>
      <c r="O42" s="249"/>
      <c r="P42" s="249"/>
      <c r="Q42" s="249"/>
      <c r="R42" s="249"/>
      <c r="S42" s="249"/>
      <c r="T42" s="249"/>
      <c r="U42" s="249"/>
      <c r="V42" s="249"/>
      <c r="W42" s="249"/>
      <c r="X42" s="249"/>
      <c r="Y42" s="249"/>
      <c r="Z42" s="249"/>
      <c r="AA42" s="249"/>
      <c r="AB42" s="249"/>
      <c r="AC42" s="249"/>
      <c r="AD42" s="249"/>
      <c r="AE42" s="250"/>
      <c r="AF42" s="33"/>
    </row>
    <row r="43" spans="2:32" ht="45" customHeight="1" x14ac:dyDescent="0.25">
      <c r="B43" s="248" t="s">
        <v>229</v>
      </c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  <c r="W43" s="249"/>
      <c r="X43" s="249"/>
      <c r="Y43" s="249"/>
      <c r="Z43" s="249"/>
      <c r="AA43" s="249"/>
      <c r="AB43" s="249"/>
      <c r="AC43" s="249"/>
      <c r="AD43" s="249"/>
      <c r="AE43" s="250"/>
      <c r="AF43" s="33"/>
    </row>
    <row r="44" spans="2:32" ht="16.5" customHeight="1" x14ac:dyDescent="0.25">
      <c r="B44" s="248" t="s">
        <v>230</v>
      </c>
      <c r="C44" s="249"/>
      <c r="D44" s="249"/>
      <c r="E44" s="249"/>
      <c r="F44" s="249"/>
      <c r="G44" s="249"/>
      <c r="H44" s="249"/>
      <c r="I44" s="249"/>
      <c r="J44" s="249"/>
      <c r="K44" s="249"/>
      <c r="L44" s="249"/>
      <c r="M44" s="249"/>
      <c r="N44" s="249"/>
      <c r="O44" s="249"/>
      <c r="P44" s="249"/>
      <c r="Q44" s="249"/>
      <c r="R44" s="249"/>
      <c r="S44" s="249"/>
      <c r="T44" s="249"/>
      <c r="U44" s="249"/>
      <c r="V44" s="249"/>
      <c r="W44" s="249"/>
      <c r="X44" s="249"/>
      <c r="Y44" s="249"/>
      <c r="Z44" s="249"/>
      <c r="AA44" s="249"/>
      <c r="AB44" s="249"/>
      <c r="AC44" s="249"/>
      <c r="AD44" s="249"/>
      <c r="AE44" s="250"/>
      <c r="AF44" s="33"/>
    </row>
    <row r="45" spans="2:32" ht="39.75" customHeight="1" x14ac:dyDescent="0.25">
      <c r="B45" s="248" t="s">
        <v>231</v>
      </c>
      <c r="C45" s="249"/>
      <c r="D45" s="249"/>
      <c r="E45" s="249"/>
      <c r="F45" s="249"/>
      <c r="G45" s="249"/>
      <c r="H45" s="249"/>
      <c r="I45" s="249"/>
      <c r="J45" s="249"/>
      <c r="K45" s="249"/>
      <c r="L45" s="249"/>
      <c r="M45" s="249"/>
      <c r="N45" s="249"/>
      <c r="O45" s="249"/>
      <c r="P45" s="249"/>
      <c r="Q45" s="249"/>
      <c r="R45" s="249"/>
      <c r="S45" s="249"/>
      <c r="T45" s="249"/>
      <c r="U45" s="249"/>
      <c r="V45" s="249"/>
      <c r="W45" s="249"/>
      <c r="X45" s="249"/>
      <c r="Y45" s="249"/>
      <c r="Z45" s="249"/>
      <c r="AA45" s="249"/>
      <c r="AB45" s="249"/>
      <c r="AC45" s="249"/>
      <c r="AD45" s="249"/>
      <c r="AE45" s="250"/>
      <c r="AF45" s="33"/>
    </row>
    <row r="46" spans="2:32" ht="31.5" customHeight="1" x14ac:dyDescent="0.25">
      <c r="B46" s="251" t="s">
        <v>232</v>
      </c>
      <c r="C46" s="252"/>
      <c r="D46" s="252"/>
      <c r="E46" s="252"/>
      <c r="F46" s="252"/>
      <c r="G46" s="252"/>
      <c r="H46" s="252"/>
      <c r="I46" s="252"/>
      <c r="J46" s="252"/>
      <c r="K46" s="252"/>
      <c r="L46" s="252"/>
      <c r="M46" s="252"/>
      <c r="N46" s="252"/>
      <c r="O46" s="252"/>
      <c r="P46" s="252"/>
      <c r="Q46" s="252"/>
      <c r="R46" s="252"/>
      <c r="S46" s="252"/>
      <c r="T46" s="252"/>
      <c r="U46" s="252"/>
      <c r="V46" s="252"/>
      <c r="W46" s="252"/>
      <c r="X46" s="252"/>
      <c r="Y46" s="252"/>
      <c r="Z46" s="252"/>
      <c r="AA46" s="252"/>
      <c r="AB46" s="252"/>
      <c r="AC46" s="252"/>
      <c r="AD46" s="252"/>
      <c r="AE46" s="253"/>
      <c r="AF46" s="33"/>
    </row>
    <row r="47" spans="2:32" ht="18.75" customHeight="1" x14ac:dyDescent="0.25"/>
    <row r="48" spans="2:32" x14ac:dyDescent="0.25">
      <c r="B48" s="35"/>
    </row>
  </sheetData>
  <autoFilter ref="B4:AF37">
    <filterColumn colId="28" showButton="0"/>
  </autoFilter>
  <mergeCells count="155">
    <mergeCell ref="B41:AE41"/>
    <mergeCell ref="B42:AE42"/>
    <mergeCell ref="B43:AE43"/>
    <mergeCell ref="B44:AE44"/>
    <mergeCell ref="B45:AE45"/>
    <mergeCell ref="B46:AE46"/>
    <mergeCell ref="R31:R32"/>
    <mergeCell ref="S31:S32"/>
    <mergeCell ref="T33:T34"/>
    <mergeCell ref="G35:G37"/>
    <mergeCell ref="I35:I37"/>
    <mergeCell ref="T35:T37"/>
    <mergeCell ref="I30:I34"/>
    <mergeCell ref="J30:J37"/>
    <mergeCell ref="K30:K37"/>
    <mergeCell ref="T30:T32"/>
    <mergeCell ref="L31:L32"/>
    <mergeCell ref="M31:M32"/>
    <mergeCell ref="N31:N32"/>
    <mergeCell ref="O31:O32"/>
    <mergeCell ref="P31:P32"/>
    <mergeCell ref="Q31:Q32"/>
    <mergeCell ref="C30:C37"/>
    <mergeCell ref="D30:D37"/>
    <mergeCell ref="K20:K29"/>
    <mergeCell ref="T20:T22"/>
    <mergeCell ref="G23:G26"/>
    <mergeCell ref="I23:I26"/>
    <mergeCell ref="R23:R26"/>
    <mergeCell ref="T23:T26"/>
    <mergeCell ref="I27:I29"/>
    <mergeCell ref="J27:J29"/>
    <mergeCell ref="T27:T29"/>
    <mergeCell ref="G27:G29"/>
    <mergeCell ref="H27:H29"/>
    <mergeCell ref="B20:B37"/>
    <mergeCell ref="C20:C26"/>
    <mergeCell ref="D20:D26"/>
    <mergeCell ref="E20:E26"/>
    <mergeCell ref="F20:F26"/>
    <mergeCell ref="G20:G22"/>
    <mergeCell ref="H20:H26"/>
    <mergeCell ref="I20:I22"/>
    <mergeCell ref="J20:J26"/>
    <mergeCell ref="E30:E37"/>
    <mergeCell ref="F30:F37"/>
    <mergeCell ref="G30:G34"/>
    <mergeCell ref="H30:H37"/>
    <mergeCell ref="C27:C29"/>
    <mergeCell ref="D27:D29"/>
    <mergeCell ref="E27:E29"/>
    <mergeCell ref="F27:F29"/>
    <mergeCell ref="R16:R17"/>
    <mergeCell ref="S16:S17"/>
    <mergeCell ref="T16:T19"/>
    <mergeCell ref="L18:L19"/>
    <mergeCell ref="M18:M19"/>
    <mergeCell ref="N18:N19"/>
    <mergeCell ref="O18:O19"/>
    <mergeCell ref="P18:P19"/>
    <mergeCell ref="Q18:Q19"/>
    <mergeCell ref="R18:R19"/>
    <mergeCell ref="L16:L17"/>
    <mergeCell ref="M16:M17"/>
    <mergeCell ref="N16:N17"/>
    <mergeCell ref="O16:O17"/>
    <mergeCell ref="P16:P17"/>
    <mergeCell ref="Q16:Q17"/>
    <mergeCell ref="S18:S19"/>
    <mergeCell ref="R10:R13"/>
    <mergeCell ref="S10:S13"/>
    <mergeCell ref="T10:T12"/>
    <mergeCell ref="T13:T15"/>
    <mergeCell ref="L14:L15"/>
    <mergeCell ref="M14:M15"/>
    <mergeCell ref="N14:N15"/>
    <mergeCell ref="O14:O15"/>
    <mergeCell ref="P14:P15"/>
    <mergeCell ref="Q14:Q15"/>
    <mergeCell ref="L10:L13"/>
    <mergeCell ref="M10:M13"/>
    <mergeCell ref="N10:N13"/>
    <mergeCell ref="O10:O13"/>
    <mergeCell ref="P10:P13"/>
    <mergeCell ref="Q10:Q13"/>
    <mergeCell ref="R14:R15"/>
    <mergeCell ref="S14:S15"/>
    <mergeCell ref="C10:C15"/>
    <mergeCell ref="D10:D15"/>
    <mergeCell ref="E10:E15"/>
    <mergeCell ref="F10:F15"/>
    <mergeCell ref="G10:G15"/>
    <mergeCell ref="H10:H15"/>
    <mergeCell ref="I10:I15"/>
    <mergeCell ref="J10:J15"/>
    <mergeCell ref="K10:K19"/>
    <mergeCell ref="C16:C19"/>
    <mergeCell ref="D16:D19"/>
    <mergeCell ref="E16:E19"/>
    <mergeCell ref="F16:F19"/>
    <mergeCell ref="G16:G19"/>
    <mergeCell ref="H16:H19"/>
    <mergeCell ref="I16:I19"/>
    <mergeCell ref="J16:J19"/>
    <mergeCell ref="Q6:Q7"/>
    <mergeCell ref="R6:R7"/>
    <mergeCell ref="S6:S7"/>
    <mergeCell ref="T6:T7"/>
    <mergeCell ref="I6:I9"/>
    <mergeCell ref="J6:J9"/>
    <mergeCell ref="K6:K9"/>
    <mergeCell ref="L6:L7"/>
    <mergeCell ref="M6:M7"/>
    <mergeCell ref="N6:N7"/>
    <mergeCell ref="T8:T9"/>
    <mergeCell ref="AF4:AF5"/>
    <mergeCell ref="B6:B19"/>
    <mergeCell ref="C6:C9"/>
    <mergeCell ref="D6:D9"/>
    <mergeCell ref="E6:E9"/>
    <mergeCell ref="F6:F9"/>
    <mergeCell ref="G6:G9"/>
    <mergeCell ref="H6:H9"/>
    <mergeCell ref="W4:W5"/>
    <mergeCell ref="X4:X5"/>
    <mergeCell ref="Y4:Y5"/>
    <mergeCell ref="Z4:Z5"/>
    <mergeCell ref="AA4:AA5"/>
    <mergeCell ref="AB4:AB5"/>
    <mergeCell ref="Q4:Q5"/>
    <mergeCell ref="R4:R5"/>
    <mergeCell ref="S4:S5"/>
    <mergeCell ref="T4:T5"/>
    <mergeCell ref="U4:U5"/>
    <mergeCell ref="V4:V5"/>
    <mergeCell ref="K4:K5"/>
    <mergeCell ref="L4:L5"/>
    <mergeCell ref="O6:O7"/>
    <mergeCell ref="P6:P7"/>
    <mergeCell ref="M4:M5"/>
    <mergeCell ref="N4:N5"/>
    <mergeCell ref="O4:O5"/>
    <mergeCell ref="P4:P5"/>
    <mergeCell ref="C2:AE2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C4:AC5"/>
    <mergeCell ref="AD4:AE4"/>
  </mergeCells>
  <pageMargins left="0.70866141732283472" right="0.70866141732283472" top="0.74803149606299213" bottom="0.74803149606299213" header="0.31496062992125984" footer="0.31496062992125984"/>
  <pageSetup paperSize="9" scale="1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AJ53"/>
  <sheetViews>
    <sheetView view="pageBreakPreview" topLeftCell="A21" zoomScaleNormal="100" zoomScaleSheetLayoutView="100" workbookViewId="0">
      <selection activeCell="M23" sqref="M23"/>
    </sheetView>
  </sheetViews>
  <sheetFormatPr defaultRowHeight="15" x14ac:dyDescent="0.25"/>
  <cols>
    <col min="1" max="1" width="4.85546875" style="2" customWidth="1"/>
    <col min="2" max="2" width="12.140625" style="2" customWidth="1"/>
    <col min="3" max="3" width="14.7109375" style="2" customWidth="1"/>
    <col min="4" max="5" width="9.140625" style="2"/>
    <col min="6" max="6" width="9.85546875" style="2" customWidth="1"/>
    <col min="7" max="7" width="9.85546875" style="2" hidden="1" customWidth="1"/>
    <col min="8" max="8" width="9.140625" style="2"/>
    <col min="9" max="9" width="13.42578125" style="2" hidden="1" customWidth="1"/>
    <col min="10" max="10" width="13.42578125" style="2" customWidth="1"/>
    <col min="11" max="11" width="14.140625" style="2" customWidth="1"/>
    <col min="12" max="12" width="17.28515625" style="2" customWidth="1"/>
    <col min="13" max="14" width="9.140625" style="2"/>
    <col min="15" max="15" width="9.85546875" style="2" customWidth="1"/>
    <col min="16" max="16" width="9.85546875" style="2" hidden="1" customWidth="1"/>
    <col min="17" max="17" width="9.140625" style="2"/>
    <col min="18" max="18" width="13.42578125" style="2" hidden="1" customWidth="1"/>
    <col min="19" max="19" width="13.42578125" style="2" customWidth="1"/>
    <col min="20" max="20" width="17.140625" style="2" customWidth="1"/>
    <col min="21" max="21" width="20.42578125" style="2" customWidth="1"/>
    <col min="22" max="22" width="21.140625" style="2" customWidth="1"/>
    <col min="23" max="25" width="21.140625" style="34" customWidth="1"/>
    <col min="26" max="27" width="33.28515625" style="2" customWidth="1"/>
    <col min="28" max="29" width="9.140625" style="2"/>
    <col min="30" max="30" width="9.85546875" style="2" customWidth="1"/>
    <col min="31" max="31" width="9.85546875" style="2" hidden="1" customWidth="1"/>
    <col min="32" max="32" width="9.42578125" style="2" customWidth="1"/>
    <col min="33" max="34" width="12.7109375" style="2" hidden="1" customWidth="1"/>
    <col min="35" max="35" width="12.7109375" style="2" customWidth="1"/>
    <col min="36" max="36" width="7.140625" style="2" customWidth="1"/>
    <col min="37" max="16384" width="9.140625" style="2"/>
  </cols>
  <sheetData>
    <row r="2" spans="2:35" x14ac:dyDescent="0.25">
      <c r="B2" s="1" t="s">
        <v>0</v>
      </c>
      <c r="C2" s="213" t="s">
        <v>1</v>
      </c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5"/>
      <c r="AI2" s="1"/>
    </row>
    <row r="3" spans="2:35" x14ac:dyDescent="0.25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5"/>
      <c r="Y3" s="5"/>
      <c r="Z3" s="4"/>
      <c r="AA3" s="4"/>
      <c r="AB3" s="4"/>
      <c r="AC3" s="4"/>
      <c r="AD3" s="4"/>
      <c r="AE3" s="4"/>
      <c r="AF3" s="4"/>
      <c r="AG3" s="4"/>
      <c r="AH3" s="6"/>
      <c r="AI3" s="7"/>
    </row>
    <row r="4" spans="2:35" ht="54" customHeight="1" x14ac:dyDescent="0.25">
      <c r="B4" s="216" t="s">
        <v>2</v>
      </c>
      <c r="C4" s="217" t="s">
        <v>3</v>
      </c>
      <c r="D4" s="212" t="s">
        <v>4</v>
      </c>
      <c r="E4" s="212" t="s">
        <v>5</v>
      </c>
      <c r="F4" s="212" t="s">
        <v>6</v>
      </c>
      <c r="G4" s="212" t="s">
        <v>7</v>
      </c>
      <c r="H4" s="212" t="s">
        <v>8</v>
      </c>
      <c r="I4" s="217" t="s">
        <v>9</v>
      </c>
      <c r="J4" s="217" t="s">
        <v>10</v>
      </c>
      <c r="K4" s="232" t="s">
        <v>11</v>
      </c>
      <c r="L4" s="217" t="s">
        <v>12</v>
      </c>
      <c r="M4" s="212" t="s">
        <v>4</v>
      </c>
      <c r="N4" s="212" t="s">
        <v>5</v>
      </c>
      <c r="O4" s="212" t="s">
        <v>6</v>
      </c>
      <c r="P4" s="212" t="s">
        <v>7</v>
      </c>
      <c r="Q4" s="212" t="s">
        <v>8</v>
      </c>
      <c r="R4" s="217" t="s">
        <v>9</v>
      </c>
      <c r="S4" s="217" t="s">
        <v>10</v>
      </c>
      <c r="T4" s="231" t="s">
        <v>13</v>
      </c>
      <c r="U4" s="218" t="s">
        <v>14</v>
      </c>
      <c r="V4" s="218" t="s">
        <v>15</v>
      </c>
      <c r="W4" s="8" t="s">
        <v>16</v>
      </c>
      <c r="X4" s="8" t="s">
        <v>17</v>
      </c>
      <c r="Y4" s="260" t="s">
        <v>18</v>
      </c>
      <c r="Z4" s="218" t="s">
        <v>19</v>
      </c>
      <c r="AA4" s="9" t="s">
        <v>20</v>
      </c>
      <c r="AB4" s="212" t="s">
        <v>21</v>
      </c>
      <c r="AC4" s="212" t="s">
        <v>5</v>
      </c>
      <c r="AD4" s="212" t="s">
        <v>6</v>
      </c>
      <c r="AE4" s="212" t="s">
        <v>7</v>
      </c>
      <c r="AF4" s="212" t="s">
        <v>8</v>
      </c>
      <c r="AG4" s="218" t="s">
        <v>9</v>
      </c>
      <c r="AH4" s="218"/>
      <c r="AI4" s="219" t="s">
        <v>10</v>
      </c>
    </row>
    <row r="5" spans="2:35" x14ac:dyDescent="0.25">
      <c r="B5" s="216"/>
      <c r="C5" s="217"/>
      <c r="D5" s="212"/>
      <c r="E5" s="212"/>
      <c r="F5" s="212"/>
      <c r="G5" s="212"/>
      <c r="H5" s="212"/>
      <c r="I5" s="217"/>
      <c r="J5" s="217"/>
      <c r="K5" s="232"/>
      <c r="L5" s="217"/>
      <c r="M5" s="212"/>
      <c r="N5" s="212"/>
      <c r="O5" s="212"/>
      <c r="P5" s="212"/>
      <c r="Q5" s="212"/>
      <c r="R5" s="217"/>
      <c r="S5" s="217"/>
      <c r="T5" s="231"/>
      <c r="U5" s="218"/>
      <c r="V5" s="218"/>
      <c r="W5" s="10"/>
      <c r="X5" s="10"/>
      <c r="Y5" s="261"/>
      <c r="Z5" s="218"/>
      <c r="AA5" s="9"/>
      <c r="AB5" s="212"/>
      <c r="AC5" s="212"/>
      <c r="AD5" s="212"/>
      <c r="AE5" s="212"/>
      <c r="AF5" s="212"/>
      <c r="AG5" s="9" t="s">
        <v>22</v>
      </c>
      <c r="AH5" s="9" t="s">
        <v>23</v>
      </c>
      <c r="AI5" s="220"/>
    </row>
    <row r="6" spans="2:35" ht="89.25" customHeight="1" x14ac:dyDescent="0.25">
      <c r="B6" s="221" t="s">
        <v>24</v>
      </c>
      <c r="C6" s="254" t="s">
        <v>25</v>
      </c>
      <c r="D6" s="257"/>
      <c r="E6" s="257" t="s">
        <v>26</v>
      </c>
      <c r="F6" s="257">
        <v>26</v>
      </c>
      <c r="G6" s="257"/>
      <c r="H6" s="257">
        <v>26</v>
      </c>
      <c r="I6" s="254"/>
      <c r="J6" s="254" t="s">
        <v>27</v>
      </c>
      <c r="K6" s="234" t="s">
        <v>28</v>
      </c>
      <c r="L6" s="223" t="s">
        <v>29</v>
      </c>
      <c r="M6" s="226" t="s">
        <v>30</v>
      </c>
      <c r="N6" s="226" t="s">
        <v>26</v>
      </c>
      <c r="O6" s="226">
        <v>0</v>
      </c>
      <c r="P6" s="226"/>
      <c r="Q6" s="226">
        <v>8</v>
      </c>
      <c r="R6" s="223"/>
      <c r="S6" s="223" t="s">
        <v>31</v>
      </c>
      <c r="T6" s="262" t="s">
        <v>32</v>
      </c>
      <c r="U6" s="11" t="s">
        <v>33</v>
      </c>
      <c r="V6" s="11" t="s">
        <v>34</v>
      </c>
      <c r="W6" s="12">
        <v>800000</v>
      </c>
      <c r="X6" s="12">
        <v>800000</v>
      </c>
      <c r="Y6" s="12">
        <f>SUM(W6,X6)</f>
        <v>1600000</v>
      </c>
      <c r="Z6" s="11" t="s">
        <v>35</v>
      </c>
      <c r="AA6" s="11"/>
      <c r="AB6" s="13" t="s">
        <v>36</v>
      </c>
      <c r="AC6" s="13" t="s">
        <v>26</v>
      </c>
      <c r="AD6" s="13">
        <v>0</v>
      </c>
      <c r="AE6" s="13"/>
      <c r="AF6" s="13">
        <v>8</v>
      </c>
      <c r="AG6" s="11"/>
      <c r="AH6" s="11"/>
      <c r="AI6" s="11" t="s">
        <v>37</v>
      </c>
    </row>
    <row r="7" spans="2:35" s="17" customFormat="1" ht="73.5" customHeight="1" x14ac:dyDescent="0.25">
      <c r="B7" s="222"/>
      <c r="C7" s="255"/>
      <c r="D7" s="258"/>
      <c r="E7" s="258"/>
      <c r="F7" s="258"/>
      <c r="G7" s="258"/>
      <c r="H7" s="258"/>
      <c r="I7" s="255"/>
      <c r="J7" s="255"/>
      <c r="K7" s="235"/>
      <c r="L7" s="225"/>
      <c r="M7" s="228"/>
      <c r="N7" s="228"/>
      <c r="O7" s="228"/>
      <c r="P7" s="228"/>
      <c r="Q7" s="228"/>
      <c r="R7" s="225"/>
      <c r="S7" s="225"/>
      <c r="T7" s="263"/>
      <c r="U7" s="14" t="s">
        <v>33</v>
      </c>
      <c r="V7" s="14" t="s">
        <v>38</v>
      </c>
      <c r="W7" s="15"/>
      <c r="X7" s="15"/>
      <c r="Y7" s="15">
        <f t="shared" ref="Y7:Y42" si="0">SUM(W7,X7)</f>
        <v>0</v>
      </c>
      <c r="Z7" s="14" t="s">
        <v>39</v>
      </c>
      <c r="AA7" s="14"/>
      <c r="AB7" s="16"/>
      <c r="AC7" s="16" t="s">
        <v>26</v>
      </c>
      <c r="AD7" s="16">
        <v>0</v>
      </c>
      <c r="AE7" s="16"/>
      <c r="AF7" s="16">
        <v>20</v>
      </c>
      <c r="AG7" s="14"/>
      <c r="AH7" s="14"/>
      <c r="AI7" s="14" t="s">
        <v>40</v>
      </c>
    </row>
    <row r="8" spans="2:35" ht="165.75" x14ac:dyDescent="0.25">
      <c r="B8" s="222"/>
      <c r="C8" s="255"/>
      <c r="D8" s="258"/>
      <c r="E8" s="258"/>
      <c r="F8" s="258"/>
      <c r="G8" s="258"/>
      <c r="H8" s="258"/>
      <c r="I8" s="255"/>
      <c r="J8" s="255"/>
      <c r="K8" s="235"/>
      <c r="L8" s="18" t="s">
        <v>41</v>
      </c>
      <c r="M8" s="13"/>
      <c r="N8" s="13" t="s">
        <v>26</v>
      </c>
      <c r="O8" s="13">
        <v>0</v>
      </c>
      <c r="P8" s="13"/>
      <c r="Q8" s="13">
        <v>6</v>
      </c>
      <c r="R8" s="18"/>
      <c r="S8" s="18" t="s">
        <v>42</v>
      </c>
      <c r="T8" s="233" t="s">
        <v>43</v>
      </c>
      <c r="U8" s="11" t="s">
        <v>44</v>
      </c>
      <c r="V8" s="11" t="s">
        <v>45</v>
      </c>
      <c r="W8" s="12">
        <v>600000</v>
      </c>
      <c r="X8" s="12">
        <v>300000</v>
      </c>
      <c r="Y8" s="12">
        <f t="shared" si="0"/>
        <v>900000</v>
      </c>
      <c r="Z8" s="11" t="s">
        <v>46</v>
      </c>
      <c r="AA8" s="11"/>
      <c r="AB8" s="13" t="s">
        <v>47</v>
      </c>
      <c r="AC8" s="13" t="s">
        <v>26</v>
      </c>
      <c r="AD8" s="13">
        <v>0</v>
      </c>
      <c r="AE8" s="13"/>
      <c r="AF8" s="13">
        <v>6</v>
      </c>
      <c r="AG8" s="11"/>
      <c r="AH8" s="11"/>
      <c r="AI8" s="11" t="s">
        <v>48</v>
      </c>
    </row>
    <row r="9" spans="2:35" ht="191.25" x14ac:dyDescent="0.25">
      <c r="B9" s="222"/>
      <c r="C9" s="256"/>
      <c r="D9" s="259"/>
      <c r="E9" s="259"/>
      <c r="F9" s="259"/>
      <c r="G9" s="259"/>
      <c r="H9" s="259"/>
      <c r="I9" s="256"/>
      <c r="J9" s="256"/>
      <c r="K9" s="236"/>
      <c r="L9" s="19" t="s">
        <v>49</v>
      </c>
      <c r="M9" s="16"/>
      <c r="N9" s="16" t="s">
        <v>50</v>
      </c>
      <c r="O9" s="16">
        <v>0</v>
      </c>
      <c r="P9" s="16"/>
      <c r="Q9" s="16">
        <v>50</v>
      </c>
      <c r="R9" s="18"/>
      <c r="S9" s="19" t="s">
        <v>51</v>
      </c>
      <c r="T9" s="233"/>
      <c r="U9" s="14" t="s">
        <v>52</v>
      </c>
      <c r="V9" s="14" t="s">
        <v>53</v>
      </c>
      <c r="W9" s="15"/>
      <c r="X9" s="15"/>
      <c r="Y9" s="15">
        <f t="shared" si="0"/>
        <v>0</v>
      </c>
      <c r="Z9" s="14" t="s">
        <v>54</v>
      </c>
      <c r="AA9" s="14"/>
      <c r="AB9" s="16"/>
      <c r="AC9" s="16" t="s">
        <v>26</v>
      </c>
      <c r="AD9" s="16">
        <v>0</v>
      </c>
      <c r="AE9" s="16"/>
      <c r="AF9" s="16">
        <v>20</v>
      </c>
      <c r="AG9" s="14"/>
      <c r="AH9" s="14"/>
      <c r="AI9" s="14" t="s">
        <v>40</v>
      </c>
    </row>
    <row r="10" spans="2:35" ht="76.5" x14ac:dyDescent="0.25">
      <c r="B10" s="222"/>
      <c r="C10" s="223" t="s">
        <v>55</v>
      </c>
      <c r="D10" s="226"/>
      <c r="E10" s="226" t="s">
        <v>56</v>
      </c>
      <c r="F10" s="226">
        <v>0</v>
      </c>
      <c r="G10" s="226"/>
      <c r="H10" s="264">
        <v>0.05</v>
      </c>
      <c r="I10" s="223"/>
      <c r="J10" s="223" t="s">
        <v>57</v>
      </c>
      <c r="K10" s="237" t="s">
        <v>58</v>
      </c>
      <c r="L10" s="238" t="s">
        <v>59</v>
      </c>
      <c r="M10" s="239" t="s">
        <v>30</v>
      </c>
      <c r="N10" s="239" t="s">
        <v>26</v>
      </c>
      <c r="O10" s="239">
        <v>0</v>
      </c>
      <c r="P10" s="239"/>
      <c r="Q10" s="239">
        <f>15+8+12+5</f>
        <v>40</v>
      </c>
      <c r="R10" s="238"/>
      <c r="S10" s="238" t="s">
        <v>42</v>
      </c>
      <c r="T10" s="233" t="s">
        <v>60</v>
      </c>
      <c r="U10" s="11" t="s">
        <v>61</v>
      </c>
      <c r="V10" s="11" t="s">
        <v>62</v>
      </c>
      <c r="W10" s="12">
        <f>800000+600000</f>
        <v>1400000</v>
      </c>
      <c r="X10" s="12">
        <f>800000+600000+100000</f>
        <v>1500000</v>
      </c>
      <c r="Y10" s="12">
        <f t="shared" si="0"/>
        <v>2900000</v>
      </c>
      <c r="Z10" s="11" t="s">
        <v>63</v>
      </c>
      <c r="AA10" s="11"/>
      <c r="AB10" s="13"/>
      <c r="AC10" s="13" t="s">
        <v>26</v>
      </c>
      <c r="AD10" s="13">
        <v>0</v>
      </c>
      <c r="AE10" s="13"/>
      <c r="AF10" s="13">
        <f>8+5</f>
        <v>13</v>
      </c>
      <c r="AG10" s="11"/>
      <c r="AH10" s="11"/>
      <c r="AI10" s="11" t="s">
        <v>37</v>
      </c>
    </row>
    <row r="11" spans="2:35" ht="51" x14ac:dyDescent="0.25">
      <c r="B11" s="222"/>
      <c r="C11" s="224"/>
      <c r="D11" s="227"/>
      <c r="E11" s="227"/>
      <c r="F11" s="227"/>
      <c r="G11" s="227"/>
      <c r="H11" s="227"/>
      <c r="I11" s="224"/>
      <c r="J11" s="224"/>
      <c r="K11" s="237"/>
      <c r="L11" s="238"/>
      <c r="M11" s="239"/>
      <c r="N11" s="239"/>
      <c r="O11" s="239"/>
      <c r="P11" s="239"/>
      <c r="Q11" s="239"/>
      <c r="R11" s="238"/>
      <c r="S11" s="238"/>
      <c r="T11" s="233"/>
      <c r="U11" s="14" t="s">
        <v>64</v>
      </c>
      <c r="V11" s="14" t="s">
        <v>65</v>
      </c>
      <c r="W11" s="12"/>
      <c r="X11" s="12"/>
      <c r="Y11" s="12">
        <f t="shared" si="0"/>
        <v>0</v>
      </c>
      <c r="Z11" s="14" t="s">
        <v>66</v>
      </c>
      <c r="AA11" s="14"/>
      <c r="AB11" s="16"/>
      <c r="AC11" s="16" t="s">
        <v>26</v>
      </c>
      <c r="AD11" s="16">
        <v>0</v>
      </c>
      <c r="AE11" s="16"/>
      <c r="AF11" s="16">
        <v>5</v>
      </c>
      <c r="AG11" s="14"/>
      <c r="AH11" s="14"/>
      <c r="AI11" s="14" t="s">
        <v>48</v>
      </c>
    </row>
    <row r="12" spans="2:35" ht="54.75" customHeight="1" x14ac:dyDescent="0.25">
      <c r="B12" s="222"/>
      <c r="C12" s="224"/>
      <c r="D12" s="227"/>
      <c r="E12" s="227"/>
      <c r="F12" s="227"/>
      <c r="G12" s="227"/>
      <c r="H12" s="227"/>
      <c r="I12" s="224"/>
      <c r="J12" s="224"/>
      <c r="K12" s="237"/>
      <c r="L12" s="238"/>
      <c r="M12" s="239"/>
      <c r="N12" s="239"/>
      <c r="O12" s="239"/>
      <c r="P12" s="239"/>
      <c r="Q12" s="239"/>
      <c r="R12" s="238"/>
      <c r="S12" s="238"/>
      <c r="T12" s="233"/>
      <c r="U12" s="14" t="s">
        <v>64</v>
      </c>
      <c r="V12" s="14" t="s">
        <v>67</v>
      </c>
      <c r="W12" s="12"/>
      <c r="X12" s="12"/>
      <c r="Y12" s="15">
        <f t="shared" si="0"/>
        <v>0</v>
      </c>
      <c r="Z12" s="14" t="s">
        <v>68</v>
      </c>
      <c r="AA12" s="14"/>
      <c r="AB12" s="16"/>
      <c r="AC12" s="16" t="s">
        <v>26</v>
      </c>
      <c r="AD12" s="16">
        <v>0</v>
      </c>
      <c r="AE12" s="16"/>
      <c r="AF12" s="16">
        <v>20</v>
      </c>
      <c r="AG12" s="14"/>
      <c r="AH12" s="14"/>
      <c r="AI12" s="14" t="s">
        <v>40</v>
      </c>
    </row>
    <row r="13" spans="2:35" ht="63.75" x14ac:dyDescent="0.25">
      <c r="B13" s="222"/>
      <c r="C13" s="224"/>
      <c r="D13" s="227"/>
      <c r="E13" s="227"/>
      <c r="F13" s="227"/>
      <c r="G13" s="227"/>
      <c r="H13" s="227"/>
      <c r="I13" s="224"/>
      <c r="J13" s="224"/>
      <c r="K13" s="237"/>
      <c r="L13" s="238"/>
      <c r="M13" s="239"/>
      <c r="N13" s="239"/>
      <c r="O13" s="239"/>
      <c r="P13" s="239"/>
      <c r="Q13" s="239"/>
      <c r="R13" s="238"/>
      <c r="S13" s="238"/>
      <c r="T13" s="233" t="s">
        <v>69</v>
      </c>
      <c r="U13" s="11" t="s">
        <v>70</v>
      </c>
      <c r="V13" s="11" t="s">
        <v>71</v>
      </c>
      <c r="W13" s="12">
        <f>300000+500000</f>
        <v>800000</v>
      </c>
      <c r="X13" s="12">
        <v>0</v>
      </c>
      <c r="Y13" s="12">
        <f t="shared" si="0"/>
        <v>800000</v>
      </c>
      <c r="Z13" s="11" t="s">
        <v>72</v>
      </c>
      <c r="AA13" s="11"/>
      <c r="AB13" s="13" t="s">
        <v>73</v>
      </c>
      <c r="AC13" s="13" t="s">
        <v>26</v>
      </c>
      <c r="AD13" s="13">
        <v>0</v>
      </c>
      <c r="AE13" s="13"/>
      <c r="AF13" s="13">
        <v>8</v>
      </c>
      <c r="AG13" s="11"/>
      <c r="AH13" s="11"/>
      <c r="AI13" s="11" t="s">
        <v>48</v>
      </c>
    </row>
    <row r="14" spans="2:35" ht="132.75" customHeight="1" x14ac:dyDescent="0.25">
      <c r="B14" s="222"/>
      <c r="C14" s="224"/>
      <c r="D14" s="227"/>
      <c r="E14" s="227"/>
      <c r="F14" s="227"/>
      <c r="G14" s="227"/>
      <c r="H14" s="227"/>
      <c r="I14" s="224"/>
      <c r="J14" s="224"/>
      <c r="K14" s="237"/>
      <c r="L14" s="238" t="s">
        <v>74</v>
      </c>
      <c r="M14" s="239"/>
      <c r="N14" s="239" t="s">
        <v>26</v>
      </c>
      <c r="O14" s="239">
        <v>131</v>
      </c>
      <c r="P14" s="239"/>
      <c r="Q14" s="239">
        <v>200</v>
      </c>
      <c r="R14" s="238"/>
      <c r="S14" s="238" t="s">
        <v>75</v>
      </c>
      <c r="T14" s="233"/>
      <c r="U14" s="11" t="s">
        <v>76</v>
      </c>
      <c r="V14" s="11" t="s">
        <v>77</v>
      </c>
      <c r="W14" s="12">
        <f>600000+1200000+500000</f>
        <v>2300000</v>
      </c>
      <c r="X14" s="12"/>
      <c r="Y14" s="12">
        <f t="shared" si="0"/>
        <v>2300000</v>
      </c>
      <c r="Z14" s="11" t="s">
        <v>78</v>
      </c>
      <c r="AA14" s="11"/>
      <c r="AB14" s="13" t="s">
        <v>79</v>
      </c>
      <c r="AC14" s="13" t="s">
        <v>26</v>
      </c>
      <c r="AD14" s="13">
        <v>0</v>
      </c>
      <c r="AE14" s="13"/>
      <c r="AF14" s="13">
        <v>15</v>
      </c>
      <c r="AG14" s="11"/>
      <c r="AH14" s="11"/>
      <c r="AI14" s="11" t="s">
        <v>48</v>
      </c>
    </row>
    <row r="15" spans="2:35" ht="51" x14ac:dyDescent="0.25">
      <c r="B15" s="222"/>
      <c r="C15" s="224"/>
      <c r="D15" s="227"/>
      <c r="E15" s="227"/>
      <c r="F15" s="227"/>
      <c r="G15" s="227"/>
      <c r="H15" s="227"/>
      <c r="I15" s="224"/>
      <c r="J15" s="224"/>
      <c r="K15" s="237"/>
      <c r="L15" s="238"/>
      <c r="M15" s="239"/>
      <c r="N15" s="239"/>
      <c r="O15" s="239"/>
      <c r="P15" s="239"/>
      <c r="Q15" s="239"/>
      <c r="R15" s="238"/>
      <c r="S15" s="238"/>
      <c r="T15" s="233"/>
      <c r="U15" s="11" t="s">
        <v>80</v>
      </c>
      <c r="V15" s="11" t="s">
        <v>81</v>
      </c>
      <c r="W15" s="12">
        <v>500000</v>
      </c>
      <c r="X15" s="12"/>
      <c r="Y15" s="12">
        <f t="shared" si="0"/>
        <v>500000</v>
      </c>
      <c r="Z15" s="11" t="s">
        <v>82</v>
      </c>
      <c r="AA15" s="11"/>
      <c r="AB15" s="13" t="s">
        <v>83</v>
      </c>
      <c r="AC15" s="13" t="s">
        <v>26</v>
      </c>
      <c r="AD15" s="13">
        <v>0</v>
      </c>
      <c r="AE15" s="13"/>
      <c r="AF15" s="13">
        <v>1</v>
      </c>
      <c r="AG15" s="11"/>
      <c r="AH15" s="11"/>
      <c r="AI15" s="11" t="s">
        <v>48</v>
      </c>
    </row>
    <row r="16" spans="2:35" ht="50.25" customHeight="1" x14ac:dyDescent="0.25">
      <c r="B16" s="222"/>
      <c r="C16" s="225"/>
      <c r="D16" s="228"/>
      <c r="E16" s="228"/>
      <c r="F16" s="228"/>
      <c r="G16" s="228"/>
      <c r="H16" s="228"/>
      <c r="I16" s="225"/>
      <c r="J16" s="225"/>
      <c r="K16" s="237"/>
      <c r="L16" s="238"/>
      <c r="M16" s="239"/>
      <c r="N16" s="239"/>
      <c r="O16" s="239"/>
      <c r="P16" s="239"/>
      <c r="Q16" s="239"/>
      <c r="R16" s="238"/>
      <c r="S16" s="238"/>
      <c r="T16" s="233"/>
      <c r="U16" s="14" t="s">
        <v>84</v>
      </c>
      <c r="V16" s="14" t="s">
        <v>85</v>
      </c>
      <c r="W16" s="15"/>
      <c r="X16" s="15"/>
      <c r="Y16" s="15">
        <f t="shared" si="0"/>
        <v>0</v>
      </c>
      <c r="Z16" s="14" t="s">
        <v>86</v>
      </c>
      <c r="AA16" s="14"/>
      <c r="AB16" s="16"/>
      <c r="AC16" s="16" t="s">
        <v>26</v>
      </c>
      <c r="AD16" s="16">
        <v>0</v>
      </c>
      <c r="AE16" s="16"/>
      <c r="AF16" s="16">
        <v>30</v>
      </c>
      <c r="AG16" s="14"/>
      <c r="AH16" s="14"/>
      <c r="AI16" s="14" t="s">
        <v>87</v>
      </c>
    </row>
    <row r="17" spans="2:36" ht="93.75" customHeight="1" x14ac:dyDescent="0.25">
      <c r="B17" s="222"/>
      <c r="C17" s="20" t="s">
        <v>88</v>
      </c>
      <c r="D17" s="21"/>
      <c r="E17" s="21" t="s">
        <v>26</v>
      </c>
      <c r="F17" s="21">
        <v>17397</v>
      </c>
      <c r="G17" s="21"/>
      <c r="H17" s="21">
        <v>19984</v>
      </c>
      <c r="I17" s="20"/>
      <c r="J17" s="20" t="s">
        <v>89</v>
      </c>
      <c r="K17" s="237"/>
      <c r="L17" s="22" t="s">
        <v>90</v>
      </c>
      <c r="M17" s="23" t="s">
        <v>91</v>
      </c>
      <c r="N17" s="23" t="s">
        <v>26</v>
      </c>
      <c r="O17" s="23">
        <v>0</v>
      </c>
      <c r="P17" s="23"/>
      <c r="Q17" s="23">
        <v>2</v>
      </c>
      <c r="R17" s="22"/>
      <c r="S17" s="22" t="s">
        <v>92</v>
      </c>
      <c r="T17" s="24"/>
      <c r="U17" s="14"/>
      <c r="V17" s="14"/>
      <c r="W17" s="15"/>
      <c r="X17" s="15"/>
      <c r="Y17" s="15"/>
      <c r="Z17" s="14"/>
      <c r="AA17" s="14"/>
      <c r="AB17" s="16"/>
      <c r="AC17" s="16"/>
      <c r="AD17" s="16"/>
      <c r="AE17" s="16"/>
      <c r="AF17" s="16"/>
      <c r="AG17" s="14"/>
      <c r="AH17" s="14"/>
      <c r="AI17" s="14"/>
    </row>
    <row r="18" spans="2:36" ht="63.75" x14ac:dyDescent="0.25">
      <c r="B18" s="222"/>
      <c r="C18" s="223" t="s">
        <v>93</v>
      </c>
      <c r="D18" s="226"/>
      <c r="E18" s="226" t="s">
        <v>26</v>
      </c>
      <c r="F18" s="226">
        <v>6346</v>
      </c>
      <c r="G18" s="226"/>
      <c r="H18" s="226">
        <v>6409</v>
      </c>
      <c r="I18" s="223"/>
      <c r="J18" s="223" t="s">
        <v>94</v>
      </c>
      <c r="K18" s="237"/>
      <c r="L18" s="223" t="s">
        <v>95</v>
      </c>
      <c r="M18" s="239"/>
      <c r="N18" s="239" t="s">
        <v>26</v>
      </c>
      <c r="O18" s="239">
        <v>0</v>
      </c>
      <c r="P18" s="239"/>
      <c r="Q18" s="239">
        <v>35</v>
      </c>
      <c r="R18" s="223"/>
      <c r="S18" s="223" t="s">
        <v>48</v>
      </c>
      <c r="T18" s="233" t="s">
        <v>96</v>
      </c>
      <c r="U18" s="11" t="s">
        <v>97</v>
      </c>
      <c r="V18" s="11" t="s">
        <v>98</v>
      </c>
      <c r="W18" s="12">
        <f>500000+600000</f>
        <v>1100000</v>
      </c>
      <c r="X18" s="12"/>
      <c r="Y18" s="12">
        <f t="shared" si="0"/>
        <v>1100000</v>
      </c>
      <c r="Z18" s="11" t="s">
        <v>99</v>
      </c>
      <c r="AA18" s="11"/>
      <c r="AB18" s="13" t="s">
        <v>73</v>
      </c>
      <c r="AC18" s="13" t="s">
        <v>26</v>
      </c>
      <c r="AD18" s="13">
        <v>0</v>
      </c>
      <c r="AE18" s="13"/>
      <c r="AF18" s="13">
        <v>11</v>
      </c>
      <c r="AG18" s="11"/>
      <c r="AH18" s="11"/>
      <c r="AI18" s="11" t="s">
        <v>37</v>
      </c>
    </row>
    <row r="19" spans="2:36" ht="63.75" x14ac:dyDescent="0.25">
      <c r="B19" s="222"/>
      <c r="C19" s="224"/>
      <c r="D19" s="227"/>
      <c r="E19" s="227"/>
      <c r="F19" s="227"/>
      <c r="G19" s="227"/>
      <c r="H19" s="227"/>
      <c r="I19" s="224"/>
      <c r="J19" s="224"/>
      <c r="K19" s="237"/>
      <c r="L19" s="224"/>
      <c r="M19" s="239"/>
      <c r="N19" s="239"/>
      <c r="O19" s="239"/>
      <c r="P19" s="239"/>
      <c r="Q19" s="239"/>
      <c r="R19" s="224"/>
      <c r="S19" s="224"/>
      <c r="T19" s="233"/>
      <c r="U19" s="11" t="s">
        <v>76</v>
      </c>
      <c r="V19" s="11" t="s">
        <v>100</v>
      </c>
      <c r="W19" s="12">
        <f>600000+1200000</f>
        <v>1800000</v>
      </c>
      <c r="X19" s="12"/>
      <c r="Y19" s="12">
        <f t="shared" si="0"/>
        <v>1800000</v>
      </c>
      <c r="Z19" s="11" t="s">
        <v>101</v>
      </c>
      <c r="AA19" s="11"/>
      <c r="AB19" s="13" t="s">
        <v>79</v>
      </c>
      <c r="AC19" s="13" t="s">
        <v>26</v>
      </c>
      <c r="AD19" s="13">
        <v>0</v>
      </c>
      <c r="AE19" s="13"/>
      <c r="AF19" s="13">
        <v>6</v>
      </c>
      <c r="AG19" s="11"/>
      <c r="AH19" s="11"/>
      <c r="AI19" s="11" t="s">
        <v>37</v>
      </c>
      <c r="AJ19" s="25"/>
    </row>
    <row r="20" spans="2:36" ht="63.75" x14ac:dyDescent="0.25">
      <c r="B20" s="222"/>
      <c r="C20" s="224"/>
      <c r="D20" s="227"/>
      <c r="E20" s="227"/>
      <c r="F20" s="227"/>
      <c r="G20" s="227"/>
      <c r="H20" s="227"/>
      <c r="I20" s="224"/>
      <c r="J20" s="224"/>
      <c r="K20" s="237"/>
      <c r="L20" s="265" t="s">
        <v>102</v>
      </c>
      <c r="M20" s="266"/>
      <c r="N20" s="266" t="s">
        <v>50</v>
      </c>
      <c r="O20" s="266">
        <v>0</v>
      </c>
      <c r="P20" s="266"/>
      <c r="Q20" s="266">
        <v>100</v>
      </c>
      <c r="R20" s="255"/>
      <c r="S20" s="265" t="s">
        <v>103</v>
      </c>
      <c r="T20" s="233"/>
      <c r="U20" s="14" t="s">
        <v>104</v>
      </c>
      <c r="V20" s="14" t="s">
        <v>105</v>
      </c>
      <c r="W20" s="15"/>
      <c r="X20" s="15"/>
      <c r="Y20" s="15">
        <f t="shared" si="0"/>
        <v>0</v>
      </c>
      <c r="Z20" s="14" t="s">
        <v>106</v>
      </c>
      <c r="AA20" s="14"/>
      <c r="AB20" s="16"/>
      <c r="AC20" s="16" t="s">
        <v>26</v>
      </c>
      <c r="AD20" s="16">
        <v>0</v>
      </c>
      <c r="AE20" s="16"/>
      <c r="AF20" s="16">
        <v>1</v>
      </c>
      <c r="AG20" s="14"/>
      <c r="AH20" s="14"/>
      <c r="AI20" s="14" t="s">
        <v>107</v>
      </c>
    </row>
    <row r="21" spans="2:36" ht="51" customHeight="1" x14ac:dyDescent="0.25">
      <c r="B21" s="222"/>
      <c r="C21" s="225"/>
      <c r="D21" s="228"/>
      <c r="E21" s="228"/>
      <c r="F21" s="228"/>
      <c r="G21" s="228"/>
      <c r="H21" s="228"/>
      <c r="I21" s="225"/>
      <c r="J21" s="225"/>
      <c r="K21" s="237"/>
      <c r="L21" s="265"/>
      <c r="M21" s="266"/>
      <c r="N21" s="266"/>
      <c r="O21" s="266"/>
      <c r="P21" s="266"/>
      <c r="Q21" s="266"/>
      <c r="R21" s="256"/>
      <c r="S21" s="265"/>
      <c r="T21" s="233"/>
      <c r="U21" s="14" t="s">
        <v>108</v>
      </c>
      <c r="V21" s="14" t="s">
        <v>109</v>
      </c>
      <c r="W21" s="15"/>
      <c r="X21" s="15"/>
      <c r="Y21" s="15">
        <f t="shared" si="0"/>
        <v>0</v>
      </c>
      <c r="Z21" s="14" t="s">
        <v>110</v>
      </c>
      <c r="AA21" s="14"/>
      <c r="AB21" s="16"/>
      <c r="AC21" s="16" t="s">
        <v>26</v>
      </c>
      <c r="AD21" s="16">
        <v>0</v>
      </c>
      <c r="AE21" s="16"/>
      <c r="AF21" s="16">
        <v>50</v>
      </c>
      <c r="AG21" s="14"/>
      <c r="AH21" s="14"/>
      <c r="AI21" s="14" t="s">
        <v>87</v>
      </c>
    </row>
    <row r="22" spans="2:36" ht="133.5" customHeight="1" x14ac:dyDescent="0.25">
      <c r="B22" s="240" t="s">
        <v>111</v>
      </c>
      <c r="C22" s="223"/>
      <c r="D22" s="241"/>
      <c r="E22" s="241"/>
      <c r="F22" s="241"/>
      <c r="G22" s="244"/>
      <c r="H22" s="241"/>
      <c r="I22" s="238"/>
      <c r="J22" s="223"/>
      <c r="K22" s="237" t="s">
        <v>112</v>
      </c>
      <c r="L22" s="18" t="s">
        <v>113</v>
      </c>
      <c r="M22" s="23" t="s">
        <v>114</v>
      </c>
      <c r="N22" s="23" t="s">
        <v>115</v>
      </c>
      <c r="O22" s="23">
        <v>0</v>
      </c>
      <c r="P22" s="23"/>
      <c r="Q22" s="23">
        <v>1000</v>
      </c>
      <c r="R22" s="18"/>
      <c r="S22" s="18" t="s">
        <v>116</v>
      </c>
      <c r="T22" s="233" t="s">
        <v>117</v>
      </c>
      <c r="U22" s="11" t="s">
        <v>118</v>
      </c>
      <c r="V22" s="11" t="s">
        <v>119</v>
      </c>
      <c r="W22" s="12"/>
      <c r="X22" s="12">
        <f>160000+160000</f>
        <v>320000</v>
      </c>
      <c r="Y22" s="12">
        <f t="shared" si="0"/>
        <v>320000</v>
      </c>
      <c r="Z22" s="11" t="s">
        <v>120</v>
      </c>
      <c r="AA22" s="11"/>
      <c r="AB22" s="13" t="s">
        <v>121</v>
      </c>
      <c r="AC22" s="13" t="s">
        <v>26</v>
      </c>
      <c r="AD22" s="13">
        <v>0</v>
      </c>
      <c r="AE22" s="13"/>
      <c r="AF22" s="13">
        <v>60</v>
      </c>
      <c r="AG22" s="11"/>
      <c r="AH22" s="11"/>
      <c r="AI22" s="11" t="s">
        <v>122</v>
      </c>
    </row>
    <row r="23" spans="2:36" ht="107.25" customHeight="1" x14ac:dyDescent="0.25">
      <c r="B23" s="240"/>
      <c r="C23" s="224"/>
      <c r="D23" s="242"/>
      <c r="E23" s="242"/>
      <c r="F23" s="242"/>
      <c r="G23" s="244"/>
      <c r="H23" s="242"/>
      <c r="I23" s="238"/>
      <c r="J23" s="224"/>
      <c r="K23" s="237"/>
      <c r="L23" s="18" t="s">
        <v>123</v>
      </c>
      <c r="M23" s="23" t="s">
        <v>124</v>
      </c>
      <c r="N23" s="23" t="s">
        <v>26</v>
      </c>
      <c r="O23" s="23">
        <v>0</v>
      </c>
      <c r="P23" s="23"/>
      <c r="Q23" s="23">
        <v>4</v>
      </c>
      <c r="R23" s="18"/>
      <c r="S23" s="18" t="s">
        <v>125</v>
      </c>
      <c r="T23" s="233"/>
      <c r="U23" s="11" t="s">
        <v>126</v>
      </c>
      <c r="V23" s="11" t="s">
        <v>127</v>
      </c>
      <c r="W23" s="12"/>
      <c r="X23" s="12"/>
      <c r="Y23" s="12">
        <f t="shared" si="0"/>
        <v>0</v>
      </c>
      <c r="Z23" s="11" t="s">
        <v>128</v>
      </c>
      <c r="AA23" s="11"/>
      <c r="AB23" s="13" t="s">
        <v>129</v>
      </c>
      <c r="AC23" s="13" t="s">
        <v>130</v>
      </c>
      <c r="AD23" s="13">
        <v>0</v>
      </c>
      <c r="AE23" s="13"/>
      <c r="AF23" s="13">
        <v>1</v>
      </c>
      <c r="AG23" s="11"/>
      <c r="AH23" s="11"/>
      <c r="AI23" s="11" t="s">
        <v>131</v>
      </c>
    </row>
    <row r="24" spans="2:36" ht="69" customHeight="1" x14ac:dyDescent="0.25">
      <c r="B24" s="240"/>
      <c r="C24" s="224"/>
      <c r="D24" s="242"/>
      <c r="E24" s="242"/>
      <c r="F24" s="242"/>
      <c r="G24" s="244"/>
      <c r="H24" s="242"/>
      <c r="I24" s="238"/>
      <c r="J24" s="224"/>
      <c r="K24" s="237"/>
      <c r="L24" s="18"/>
      <c r="M24" s="23"/>
      <c r="N24" s="23"/>
      <c r="O24" s="23"/>
      <c r="P24" s="23"/>
      <c r="Q24" s="23"/>
      <c r="R24" s="18"/>
      <c r="S24" s="18"/>
      <c r="T24" s="233"/>
      <c r="U24" s="14" t="s">
        <v>132</v>
      </c>
      <c r="V24" s="14" t="s">
        <v>133</v>
      </c>
      <c r="W24" s="15"/>
      <c r="X24" s="15"/>
      <c r="Y24" s="15">
        <f t="shared" si="0"/>
        <v>0</v>
      </c>
      <c r="Z24" s="14" t="s">
        <v>134</v>
      </c>
      <c r="AA24" s="14"/>
      <c r="AB24" s="16"/>
      <c r="AC24" s="16" t="s">
        <v>26</v>
      </c>
      <c r="AD24" s="16">
        <v>0</v>
      </c>
      <c r="AE24" s="16"/>
      <c r="AF24" s="16">
        <v>20</v>
      </c>
      <c r="AG24" s="14"/>
      <c r="AH24" s="14"/>
      <c r="AI24" s="14" t="s">
        <v>87</v>
      </c>
    </row>
    <row r="25" spans="2:36" ht="100.5" customHeight="1" x14ac:dyDescent="0.25">
      <c r="B25" s="240"/>
      <c r="C25" s="224"/>
      <c r="D25" s="242"/>
      <c r="E25" s="242"/>
      <c r="F25" s="242"/>
      <c r="G25" s="244"/>
      <c r="H25" s="242"/>
      <c r="I25" s="238"/>
      <c r="J25" s="224"/>
      <c r="K25" s="237"/>
      <c r="L25" s="18" t="s">
        <v>135</v>
      </c>
      <c r="M25" s="13" t="s">
        <v>136</v>
      </c>
      <c r="N25" s="13" t="s">
        <v>137</v>
      </c>
      <c r="O25" s="13">
        <v>0</v>
      </c>
      <c r="P25" s="13"/>
      <c r="Q25" s="13">
        <v>20000</v>
      </c>
      <c r="R25" s="238"/>
      <c r="S25" s="18" t="s">
        <v>138</v>
      </c>
      <c r="T25" s="233" t="s">
        <v>139</v>
      </c>
      <c r="U25" s="11" t="s">
        <v>140</v>
      </c>
      <c r="V25" s="11" t="s">
        <v>141</v>
      </c>
      <c r="W25" s="12">
        <f>1845664.55+118771.63-119932.07</f>
        <v>1844504.11</v>
      </c>
      <c r="X25" s="12"/>
      <c r="Y25" s="12">
        <f>SUM(W25,X25,W26)</f>
        <v>1964436.1800000002</v>
      </c>
      <c r="Z25" s="11" t="s">
        <v>142</v>
      </c>
      <c r="AA25" s="11"/>
      <c r="AB25" s="13" t="s">
        <v>143</v>
      </c>
      <c r="AC25" s="13" t="s">
        <v>26</v>
      </c>
      <c r="AD25" s="13">
        <v>0</v>
      </c>
      <c r="AE25" s="13"/>
      <c r="AF25" s="13">
        <v>6</v>
      </c>
      <c r="AG25" s="11"/>
      <c r="AH25" s="11"/>
      <c r="AI25" s="11" t="s">
        <v>48</v>
      </c>
    </row>
    <row r="26" spans="2:36" ht="100.5" customHeight="1" x14ac:dyDescent="0.25">
      <c r="B26" s="240"/>
      <c r="C26" s="224"/>
      <c r="D26" s="242"/>
      <c r="E26" s="242"/>
      <c r="F26" s="242"/>
      <c r="G26" s="244"/>
      <c r="H26" s="242"/>
      <c r="I26" s="238"/>
      <c r="J26" s="224"/>
      <c r="K26" s="237"/>
      <c r="L26" s="18"/>
      <c r="M26" s="13"/>
      <c r="N26" s="13"/>
      <c r="O26" s="13"/>
      <c r="P26" s="13"/>
      <c r="Q26" s="13"/>
      <c r="R26" s="238"/>
      <c r="S26" s="18"/>
      <c r="T26" s="233"/>
      <c r="U26" s="11"/>
      <c r="V26" s="11"/>
      <c r="W26" s="12">
        <v>119932.07</v>
      </c>
      <c r="X26" s="12"/>
      <c r="Y26" s="12"/>
      <c r="Z26" s="11" t="s">
        <v>144</v>
      </c>
      <c r="AA26" s="11"/>
      <c r="AB26" s="13" t="s">
        <v>145</v>
      </c>
      <c r="AC26" s="13" t="s">
        <v>146</v>
      </c>
      <c r="AD26" s="13">
        <v>0</v>
      </c>
      <c r="AE26" s="13"/>
      <c r="AF26" s="13">
        <v>0.06</v>
      </c>
      <c r="AG26" s="11"/>
      <c r="AH26" s="11"/>
      <c r="AI26" s="11" t="s">
        <v>48</v>
      </c>
    </row>
    <row r="27" spans="2:36" ht="140.25" x14ac:dyDescent="0.25">
      <c r="B27" s="240"/>
      <c r="C27" s="224"/>
      <c r="D27" s="242"/>
      <c r="E27" s="242"/>
      <c r="F27" s="242"/>
      <c r="G27" s="244"/>
      <c r="H27" s="242"/>
      <c r="I27" s="238"/>
      <c r="J27" s="224"/>
      <c r="K27" s="237"/>
      <c r="L27" s="18" t="s">
        <v>147</v>
      </c>
      <c r="M27" s="13"/>
      <c r="N27" s="13" t="s">
        <v>137</v>
      </c>
      <c r="O27" s="13">
        <v>0</v>
      </c>
      <c r="P27" s="13"/>
      <c r="Q27" s="13">
        <v>1000</v>
      </c>
      <c r="R27" s="238"/>
      <c r="S27" s="18" t="s">
        <v>148</v>
      </c>
      <c r="T27" s="233"/>
      <c r="U27" s="11" t="s">
        <v>140</v>
      </c>
      <c r="V27" s="11" t="s">
        <v>149</v>
      </c>
      <c r="W27" s="12"/>
      <c r="X27" s="12">
        <f>150000+150000</f>
        <v>300000</v>
      </c>
      <c r="Y27" s="12">
        <f t="shared" si="0"/>
        <v>300000</v>
      </c>
      <c r="Z27" s="11" t="s">
        <v>150</v>
      </c>
      <c r="AA27" s="11"/>
      <c r="AB27" s="13" t="s">
        <v>151</v>
      </c>
      <c r="AC27" s="13" t="s">
        <v>26</v>
      </c>
      <c r="AD27" s="13">
        <v>0</v>
      </c>
      <c r="AE27" s="13"/>
      <c r="AF27" s="13">
        <v>30</v>
      </c>
      <c r="AG27" s="11"/>
      <c r="AH27" s="11"/>
      <c r="AI27" s="11" t="s">
        <v>48</v>
      </c>
    </row>
    <row r="28" spans="2:36" ht="132.75" customHeight="1" x14ac:dyDescent="0.25">
      <c r="B28" s="240"/>
      <c r="C28" s="224"/>
      <c r="D28" s="242"/>
      <c r="E28" s="242"/>
      <c r="F28" s="242"/>
      <c r="G28" s="244"/>
      <c r="H28" s="242"/>
      <c r="I28" s="238"/>
      <c r="J28" s="224"/>
      <c r="K28" s="237"/>
      <c r="L28" s="26" t="s">
        <v>152</v>
      </c>
      <c r="M28" s="16"/>
      <c r="N28" s="16" t="s">
        <v>137</v>
      </c>
      <c r="O28" s="16">
        <v>0</v>
      </c>
      <c r="P28" s="16"/>
      <c r="Q28" s="16">
        <v>1000</v>
      </c>
      <c r="R28" s="238"/>
      <c r="S28" s="19" t="s">
        <v>153</v>
      </c>
      <c r="T28" s="233"/>
      <c r="U28" s="14" t="s">
        <v>154</v>
      </c>
      <c r="V28" s="14" t="s">
        <v>133</v>
      </c>
      <c r="W28" s="15"/>
      <c r="X28" s="15"/>
      <c r="Y28" s="15">
        <f t="shared" si="0"/>
        <v>0</v>
      </c>
      <c r="Z28" s="14" t="s">
        <v>155</v>
      </c>
      <c r="AA28" s="14"/>
      <c r="AB28" s="16"/>
      <c r="AC28" s="16" t="s">
        <v>156</v>
      </c>
      <c r="AD28" s="16">
        <v>0</v>
      </c>
      <c r="AE28" s="16"/>
      <c r="AF28" s="16">
        <v>25</v>
      </c>
      <c r="AG28" s="14"/>
      <c r="AH28" s="14"/>
      <c r="AI28" s="14" t="s">
        <v>87</v>
      </c>
    </row>
    <row r="29" spans="2:36" ht="72" customHeight="1" x14ac:dyDescent="0.25">
      <c r="B29" s="240"/>
      <c r="C29" s="225"/>
      <c r="D29" s="243"/>
      <c r="E29" s="243"/>
      <c r="F29" s="243"/>
      <c r="G29" s="244"/>
      <c r="H29" s="243"/>
      <c r="I29" s="238"/>
      <c r="J29" s="225"/>
      <c r="K29" s="237"/>
      <c r="L29" s="19" t="s">
        <v>157</v>
      </c>
      <c r="M29" s="16"/>
      <c r="N29" s="16" t="s">
        <v>26</v>
      </c>
      <c r="O29" s="16">
        <v>0</v>
      </c>
      <c r="P29" s="16"/>
      <c r="Q29" s="16">
        <v>500</v>
      </c>
      <c r="R29" s="238"/>
      <c r="S29" s="19" t="s">
        <v>158</v>
      </c>
      <c r="T29" s="233"/>
      <c r="U29" s="14" t="s">
        <v>159</v>
      </c>
      <c r="V29" s="14" t="s">
        <v>160</v>
      </c>
      <c r="W29" s="15"/>
      <c r="X29" s="15"/>
      <c r="Y29" s="15">
        <f t="shared" si="0"/>
        <v>0</v>
      </c>
      <c r="Z29" s="14" t="s">
        <v>161</v>
      </c>
      <c r="AA29" s="14"/>
      <c r="AB29" s="16"/>
      <c r="AC29" s="16" t="s">
        <v>26</v>
      </c>
      <c r="AD29" s="16">
        <v>0</v>
      </c>
      <c r="AE29" s="16"/>
      <c r="AF29" s="16">
        <v>1</v>
      </c>
      <c r="AG29" s="14"/>
      <c r="AH29" s="14"/>
      <c r="AI29" s="14" t="s">
        <v>162</v>
      </c>
    </row>
    <row r="30" spans="2:36" ht="153" x14ac:dyDescent="0.25">
      <c r="B30" s="240"/>
      <c r="C30" s="238" t="s">
        <v>163</v>
      </c>
      <c r="D30" s="244"/>
      <c r="E30" s="244" t="s">
        <v>56</v>
      </c>
      <c r="F30" s="244">
        <v>0</v>
      </c>
      <c r="G30" s="244"/>
      <c r="H30" s="244">
        <v>5</v>
      </c>
      <c r="I30" s="238"/>
      <c r="J30" s="238" t="s">
        <v>164</v>
      </c>
      <c r="K30" s="237"/>
      <c r="L30" s="18" t="s">
        <v>165</v>
      </c>
      <c r="M30" s="23"/>
      <c r="N30" s="23" t="s">
        <v>137</v>
      </c>
      <c r="O30" s="23">
        <v>0</v>
      </c>
      <c r="P30" s="23"/>
      <c r="Q30" s="27">
        <v>1000</v>
      </c>
      <c r="R30" s="18"/>
      <c r="S30" s="18" t="s">
        <v>166</v>
      </c>
      <c r="T30" s="233" t="s">
        <v>167</v>
      </c>
      <c r="U30" s="11" t="s">
        <v>168</v>
      </c>
      <c r="V30" s="11" t="s">
        <v>169</v>
      </c>
      <c r="W30" s="12"/>
      <c r="X30" s="12">
        <f>150000+150000</f>
        <v>300000</v>
      </c>
      <c r="Y30" s="12">
        <f t="shared" si="0"/>
        <v>300000</v>
      </c>
      <c r="Z30" s="11" t="s">
        <v>170</v>
      </c>
      <c r="AA30" s="11"/>
      <c r="AB30" s="13"/>
      <c r="AC30" s="13" t="s">
        <v>26</v>
      </c>
      <c r="AD30" s="13">
        <v>0</v>
      </c>
      <c r="AE30" s="13"/>
      <c r="AF30" s="13">
        <v>6</v>
      </c>
      <c r="AG30" s="11"/>
      <c r="AH30" s="11"/>
      <c r="AI30" s="11" t="s">
        <v>171</v>
      </c>
    </row>
    <row r="31" spans="2:36" ht="140.25" x14ac:dyDescent="0.25">
      <c r="B31" s="240"/>
      <c r="C31" s="238"/>
      <c r="D31" s="244"/>
      <c r="E31" s="244"/>
      <c r="F31" s="244"/>
      <c r="G31" s="244"/>
      <c r="H31" s="244"/>
      <c r="I31" s="238"/>
      <c r="J31" s="238"/>
      <c r="K31" s="237"/>
      <c r="L31" s="19" t="s">
        <v>172</v>
      </c>
      <c r="M31" s="28"/>
      <c r="N31" s="28" t="s">
        <v>26</v>
      </c>
      <c r="O31" s="28">
        <v>0</v>
      </c>
      <c r="P31" s="28"/>
      <c r="Q31" s="28">
        <v>20</v>
      </c>
      <c r="R31" s="19"/>
      <c r="S31" s="19" t="s">
        <v>131</v>
      </c>
      <c r="T31" s="233"/>
      <c r="U31" s="11" t="s">
        <v>173</v>
      </c>
      <c r="V31" s="11" t="s">
        <v>174</v>
      </c>
      <c r="W31" s="12">
        <v>216000</v>
      </c>
      <c r="X31" s="12"/>
      <c r="Y31" s="12">
        <f t="shared" si="0"/>
        <v>216000</v>
      </c>
      <c r="Z31" s="11" t="s">
        <v>175</v>
      </c>
      <c r="AA31" s="11"/>
      <c r="AB31" s="13"/>
      <c r="AC31" s="13" t="s">
        <v>26</v>
      </c>
      <c r="AD31" s="13">
        <v>0</v>
      </c>
      <c r="AE31" s="13"/>
      <c r="AF31" s="13">
        <v>3</v>
      </c>
      <c r="AG31" s="11"/>
      <c r="AH31" s="11"/>
      <c r="AI31" s="11" t="s">
        <v>176</v>
      </c>
    </row>
    <row r="32" spans="2:36" ht="124.5" customHeight="1" x14ac:dyDescent="0.25">
      <c r="B32" s="240"/>
      <c r="C32" s="238"/>
      <c r="D32" s="244"/>
      <c r="E32" s="244"/>
      <c r="F32" s="244"/>
      <c r="G32" s="244"/>
      <c r="H32" s="244"/>
      <c r="I32" s="238"/>
      <c r="J32" s="238"/>
      <c r="K32" s="237"/>
      <c r="L32" s="18" t="s">
        <v>177</v>
      </c>
      <c r="M32" s="23"/>
      <c r="N32" s="23" t="s">
        <v>178</v>
      </c>
      <c r="O32" s="23">
        <v>0</v>
      </c>
      <c r="P32" s="23"/>
      <c r="Q32" s="23">
        <v>1000</v>
      </c>
      <c r="R32" s="18"/>
      <c r="S32" s="18" t="s">
        <v>179</v>
      </c>
      <c r="T32" s="233"/>
      <c r="U32" s="11" t="s">
        <v>180</v>
      </c>
      <c r="V32" s="11" t="s">
        <v>181</v>
      </c>
      <c r="W32" s="12">
        <f>2*45000</f>
        <v>90000</v>
      </c>
      <c r="X32" s="12">
        <f>4*45000</f>
        <v>180000</v>
      </c>
      <c r="Y32" s="12">
        <f t="shared" si="0"/>
        <v>270000</v>
      </c>
      <c r="Z32" s="11" t="s">
        <v>182</v>
      </c>
      <c r="AA32" s="11"/>
      <c r="AB32" s="13"/>
      <c r="AC32" s="13" t="s">
        <v>26</v>
      </c>
      <c r="AD32" s="13">
        <v>10</v>
      </c>
      <c r="AE32" s="13"/>
      <c r="AF32" s="13">
        <v>16</v>
      </c>
      <c r="AG32" s="11"/>
      <c r="AH32" s="11"/>
      <c r="AI32" s="11" t="s">
        <v>183</v>
      </c>
    </row>
    <row r="33" spans="2:35" ht="178.5" x14ac:dyDescent="0.25">
      <c r="B33" s="240"/>
      <c r="C33" s="223" t="s">
        <v>184</v>
      </c>
      <c r="D33" s="241"/>
      <c r="E33" s="241" t="s">
        <v>56</v>
      </c>
      <c r="F33" s="241">
        <v>0.92</v>
      </c>
      <c r="G33" s="244"/>
      <c r="H33" s="241">
        <v>0.95</v>
      </c>
      <c r="I33" s="238"/>
      <c r="J33" s="223" t="s">
        <v>185</v>
      </c>
      <c r="K33" s="237" t="s">
        <v>186</v>
      </c>
      <c r="L33" s="18" t="s">
        <v>187</v>
      </c>
      <c r="M33" s="13"/>
      <c r="N33" s="13" t="s">
        <v>26</v>
      </c>
      <c r="O33" s="13">
        <v>0</v>
      </c>
      <c r="P33" s="13"/>
      <c r="Q33" s="13">
        <v>100</v>
      </c>
      <c r="R33" s="18"/>
      <c r="S33" s="18" t="s">
        <v>188</v>
      </c>
      <c r="T33" s="233" t="s">
        <v>189</v>
      </c>
      <c r="U33" s="11" t="s">
        <v>190</v>
      </c>
      <c r="V33" s="11" t="s">
        <v>191</v>
      </c>
      <c r="W33" s="12">
        <f>2*43000</f>
        <v>86000</v>
      </c>
      <c r="X33" s="12">
        <f>4*43000</f>
        <v>172000</v>
      </c>
      <c r="Y33" s="12">
        <f t="shared" si="0"/>
        <v>258000</v>
      </c>
      <c r="Z33" s="11" t="s">
        <v>192</v>
      </c>
      <c r="AA33" s="11"/>
      <c r="AB33" s="13" t="s">
        <v>193</v>
      </c>
      <c r="AC33" s="13" t="s">
        <v>26</v>
      </c>
      <c r="AD33" s="13">
        <v>8</v>
      </c>
      <c r="AE33" s="13"/>
      <c r="AF33" s="13">
        <v>20</v>
      </c>
      <c r="AG33" s="11"/>
      <c r="AH33" s="11"/>
      <c r="AI33" s="11" t="s">
        <v>194</v>
      </c>
    </row>
    <row r="34" spans="2:35" ht="102" x14ac:dyDescent="0.25">
      <c r="B34" s="240"/>
      <c r="C34" s="224"/>
      <c r="D34" s="242"/>
      <c r="E34" s="242"/>
      <c r="F34" s="242"/>
      <c r="G34" s="244"/>
      <c r="H34" s="242"/>
      <c r="I34" s="238"/>
      <c r="J34" s="224"/>
      <c r="K34" s="237"/>
      <c r="L34" s="22"/>
      <c r="M34" s="29"/>
      <c r="N34" s="29"/>
      <c r="O34" s="29"/>
      <c r="P34" s="29"/>
      <c r="Q34" s="29"/>
      <c r="R34" s="22"/>
      <c r="S34" s="22"/>
      <c r="T34" s="233"/>
      <c r="U34" s="11"/>
      <c r="V34" s="11"/>
      <c r="W34" s="12"/>
      <c r="X34" s="12"/>
      <c r="Y34" s="12"/>
      <c r="Z34" s="11" t="s">
        <v>195</v>
      </c>
      <c r="AA34" s="11"/>
      <c r="AB34" s="13" t="s">
        <v>196</v>
      </c>
      <c r="AC34" s="13" t="s">
        <v>26</v>
      </c>
      <c r="AD34" s="13">
        <v>0</v>
      </c>
      <c r="AE34" s="13"/>
      <c r="AF34" s="13">
        <v>1</v>
      </c>
      <c r="AG34" s="11"/>
      <c r="AH34" s="11"/>
      <c r="AI34" s="11" t="s">
        <v>194</v>
      </c>
    </row>
    <row r="35" spans="2:35" ht="102" x14ac:dyDescent="0.25">
      <c r="B35" s="240"/>
      <c r="C35" s="224"/>
      <c r="D35" s="242"/>
      <c r="E35" s="242"/>
      <c r="F35" s="242"/>
      <c r="G35" s="244"/>
      <c r="H35" s="242"/>
      <c r="I35" s="238"/>
      <c r="J35" s="224"/>
      <c r="K35" s="237"/>
      <c r="L35" s="267" t="s">
        <v>197</v>
      </c>
      <c r="M35" s="226" t="s">
        <v>198</v>
      </c>
      <c r="N35" s="226" t="s">
        <v>26</v>
      </c>
      <c r="O35" s="226">
        <v>0</v>
      </c>
      <c r="P35" s="226"/>
      <c r="Q35" s="226">
        <v>2</v>
      </c>
      <c r="R35" s="223"/>
      <c r="S35" s="223" t="s">
        <v>199</v>
      </c>
      <c r="T35" s="233"/>
      <c r="U35" s="11" t="s">
        <v>200</v>
      </c>
      <c r="V35" s="11" t="s">
        <v>201</v>
      </c>
      <c r="W35" s="12">
        <v>210000</v>
      </c>
      <c r="X35" s="12">
        <v>10000</v>
      </c>
      <c r="Y35" s="12">
        <f t="shared" si="0"/>
        <v>220000</v>
      </c>
      <c r="Z35" s="11" t="s">
        <v>202</v>
      </c>
      <c r="AA35" s="11"/>
      <c r="AB35" s="13" t="s">
        <v>129</v>
      </c>
      <c r="AC35" s="13" t="s">
        <v>26</v>
      </c>
      <c r="AD35" s="13">
        <v>1</v>
      </c>
      <c r="AE35" s="13"/>
      <c r="AF35" s="13">
        <v>3</v>
      </c>
      <c r="AG35" s="11"/>
      <c r="AH35" s="11"/>
      <c r="AI35" s="11" t="s">
        <v>203</v>
      </c>
    </row>
    <row r="36" spans="2:35" ht="63.75" customHeight="1" x14ac:dyDescent="0.25">
      <c r="B36" s="240"/>
      <c r="C36" s="224"/>
      <c r="D36" s="242"/>
      <c r="E36" s="242"/>
      <c r="F36" s="242"/>
      <c r="G36" s="244"/>
      <c r="H36" s="242"/>
      <c r="I36" s="238"/>
      <c r="J36" s="224"/>
      <c r="K36" s="237"/>
      <c r="L36" s="268"/>
      <c r="M36" s="228"/>
      <c r="N36" s="228"/>
      <c r="O36" s="228"/>
      <c r="P36" s="228"/>
      <c r="Q36" s="228"/>
      <c r="R36" s="225"/>
      <c r="S36" s="225"/>
      <c r="T36" s="233"/>
      <c r="U36" s="11" t="s">
        <v>200</v>
      </c>
      <c r="V36" s="11" t="s">
        <v>204</v>
      </c>
      <c r="W36" s="12"/>
      <c r="X36" s="12"/>
      <c r="Y36" s="12">
        <f t="shared" si="0"/>
        <v>0</v>
      </c>
      <c r="Z36" s="11" t="s">
        <v>205</v>
      </c>
      <c r="AA36" s="11"/>
      <c r="AB36" s="13"/>
      <c r="AC36" s="13" t="s">
        <v>26</v>
      </c>
      <c r="AD36" s="13">
        <v>1</v>
      </c>
      <c r="AE36" s="13"/>
      <c r="AF36" s="13">
        <v>2</v>
      </c>
      <c r="AG36" s="11"/>
      <c r="AH36" s="11"/>
      <c r="AI36" s="11" t="s">
        <v>203</v>
      </c>
    </row>
    <row r="37" spans="2:35" ht="153" x14ac:dyDescent="0.25">
      <c r="B37" s="240"/>
      <c r="C37" s="224"/>
      <c r="D37" s="242"/>
      <c r="E37" s="242"/>
      <c r="F37" s="242"/>
      <c r="G37" s="244"/>
      <c r="H37" s="242"/>
      <c r="I37" s="238"/>
      <c r="J37" s="224"/>
      <c r="K37" s="237"/>
      <c r="L37" s="18" t="s">
        <v>206</v>
      </c>
      <c r="M37" s="13" t="s">
        <v>136</v>
      </c>
      <c r="N37" s="13" t="s">
        <v>26</v>
      </c>
      <c r="O37" s="13">
        <v>0</v>
      </c>
      <c r="P37" s="13"/>
      <c r="Q37" s="30">
        <v>20000</v>
      </c>
      <c r="R37" s="18"/>
      <c r="S37" s="18" t="s">
        <v>207</v>
      </c>
      <c r="T37" s="233" t="s">
        <v>208</v>
      </c>
      <c r="U37" s="11" t="s">
        <v>209</v>
      </c>
      <c r="V37" s="11" t="s">
        <v>210</v>
      </c>
      <c r="W37" s="12">
        <f>1377793.82+237770-266164</f>
        <v>1349399.82</v>
      </c>
      <c r="X37" s="12"/>
      <c r="Y37" s="12">
        <f>SUM(W37,X37,W38)</f>
        <v>1615563.82</v>
      </c>
      <c r="Z37" s="11" t="s">
        <v>211</v>
      </c>
      <c r="AA37" s="11"/>
      <c r="AB37" s="13" t="s">
        <v>143</v>
      </c>
      <c r="AC37" s="13" t="s">
        <v>26</v>
      </c>
      <c r="AD37" s="13">
        <v>0</v>
      </c>
      <c r="AE37" s="13"/>
      <c r="AF37" s="13">
        <v>9</v>
      </c>
      <c r="AG37" s="11"/>
      <c r="AH37" s="11"/>
      <c r="AI37" s="11" t="s">
        <v>48</v>
      </c>
    </row>
    <row r="38" spans="2:35" ht="51" x14ac:dyDescent="0.25">
      <c r="B38" s="240"/>
      <c r="C38" s="224"/>
      <c r="D38" s="242"/>
      <c r="E38" s="242"/>
      <c r="F38" s="242"/>
      <c r="G38" s="244"/>
      <c r="H38" s="242"/>
      <c r="I38" s="238"/>
      <c r="J38" s="224"/>
      <c r="K38" s="237"/>
      <c r="L38" s="18"/>
      <c r="M38" s="13"/>
      <c r="N38" s="13"/>
      <c r="O38" s="13"/>
      <c r="P38" s="13"/>
      <c r="Q38" s="31"/>
      <c r="R38" s="18"/>
      <c r="S38" s="18"/>
      <c r="T38" s="233"/>
      <c r="U38" s="11"/>
      <c r="V38" s="11"/>
      <c r="W38" s="12">
        <v>266164</v>
      </c>
      <c r="X38" s="12"/>
      <c r="Y38" s="12"/>
      <c r="Z38" s="11" t="s">
        <v>144</v>
      </c>
      <c r="AA38" s="11"/>
      <c r="AB38" s="13" t="s">
        <v>145</v>
      </c>
      <c r="AC38" s="13" t="s">
        <v>146</v>
      </c>
      <c r="AD38" s="13">
        <v>0</v>
      </c>
      <c r="AE38" s="13"/>
      <c r="AF38" s="13">
        <v>0.5</v>
      </c>
      <c r="AG38" s="11"/>
      <c r="AH38" s="11"/>
      <c r="AI38" s="11" t="s">
        <v>48</v>
      </c>
    </row>
    <row r="39" spans="2:35" ht="140.25" x14ac:dyDescent="0.25">
      <c r="B39" s="240"/>
      <c r="C39" s="224"/>
      <c r="D39" s="242"/>
      <c r="E39" s="242"/>
      <c r="F39" s="242"/>
      <c r="G39" s="244"/>
      <c r="H39" s="242"/>
      <c r="I39" s="238"/>
      <c r="J39" s="224"/>
      <c r="K39" s="237"/>
      <c r="L39" s="32" t="s">
        <v>212</v>
      </c>
      <c r="M39" s="13"/>
      <c r="N39" s="13" t="s">
        <v>26</v>
      </c>
      <c r="O39" s="13">
        <v>0</v>
      </c>
      <c r="P39" s="13"/>
      <c r="Q39" s="30">
        <v>1000</v>
      </c>
      <c r="R39" s="18"/>
      <c r="S39" s="18" t="s">
        <v>213</v>
      </c>
      <c r="T39" s="233"/>
      <c r="U39" s="11" t="s">
        <v>173</v>
      </c>
      <c r="V39" s="11" t="s">
        <v>214</v>
      </c>
      <c r="W39" s="12"/>
      <c r="X39" s="12">
        <v>42000</v>
      </c>
      <c r="Y39" s="12">
        <f t="shared" si="0"/>
        <v>42000</v>
      </c>
      <c r="Z39" s="11" t="s">
        <v>215</v>
      </c>
      <c r="AA39" s="11"/>
      <c r="AB39" s="13" t="s">
        <v>216</v>
      </c>
      <c r="AC39" s="13" t="s">
        <v>146</v>
      </c>
      <c r="AD39" s="13">
        <v>0</v>
      </c>
      <c r="AE39" s="13"/>
      <c r="AF39" s="13">
        <v>50</v>
      </c>
      <c r="AG39" s="11"/>
      <c r="AH39" s="11"/>
      <c r="AI39" s="11" t="s">
        <v>131</v>
      </c>
    </row>
    <row r="40" spans="2:35" ht="89.25" x14ac:dyDescent="0.25">
      <c r="B40" s="240"/>
      <c r="C40" s="224"/>
      <c r="D40" s="242"/>
      <c r="E40" s="242"/>
      <c r="F40" s="242"/>
      <c r="G40" s="244"/>
      <c r="H40" s="242"/>
      <c r="I40" s="238"/>
      <c r="J40" s="224"/>
      <c r="K40" s="237"/>
      <c r="L40" s="18" t="s">
        <v>217</v>
      </c>
      <c r="M40" s="13"/>
      <c r="N40" s="13" t="s">
        <v>26</v>
      </c>
      <c r="O40" s="13">
        <v>0</v>
      </c>
      <c r="P40" s="13"/>
      <c r="Q40" s="13">
        <v>9</v>
      </c>
      <c r="R40" s="18"/>
      <c r="S40" s="18" t="s">
        <v>48</v>
      </c>
      <c r="T40" s="233" t="s">
        <v>218</v>
      </c>
      <c r="U40" s="11" t="s">
        <v>219</v>
      </c>
      <c r="V40" s="11" t="s">
        <v>220</v>
      </c>
      <c r="W40" s="12">
        <f>1798905+733931.11</f>
        <v>2532836.11</v>
      </c>
      <c r="X40" s="12"/>
      <c r="Y40" s="12">
        <f t="shared" si="0"/>
        <v>2532836.11</v>
      </c>
      <c r="Z40" s="11" t="s">
        <v>221</v>
      </c>
      <c r="AA40" s="11"/>
      <c r="AB40" s="13"/>
      <c r="AC40" s="13" t="s">
        <v>26</v>
      </c>
      <c r="AD40" s="13">
        <v>0</v>
      </c>
      <c r="AE40" s="13"/>
      <c r="AF40" s="13">
        <v>9</v>
      </c>
      <c r="AG40" s="11"/>
      <c r="AH40" s="11"/>
      <c r="AI40" s="11" t="s">
        <v>48</v>
      </c>
    </row>
    <row r="41" spans="2:35" ht="51" x14ac:dyDescent="0.25">
      <c r="B41" s="240"/>
      <c r="C41" s="224"/>
      <c r="D41" s="242"/>
      <c r="E41" s="242"/>
      <c r="F41" s="242"/>
      <c r="G41" s="244"/>
      <c r="H41" s="242"/>
      <c r="I41" s="238"/>
      <c r="J41" s="224"/>
      <c r="K41" s="237"/>
      <c r="L41" s="18"/>
      <c r="M41" s="13"/>
      <c r="N41" s="13"/>
      <c r="O41" s="13"/>
      <c r="P41" s="13"/>
      <c r="Q41" s="31"/>
      <c r="R41" s="18"/>
      <c r="S41" s="18"/>
      <c r="T41" s="233"/>
      <c r="U41" s="11" t="s">
        <v>222</v>
      </c>
      <c r="V41" s="11" t="s">
        <v>223</v>
      </c>
      <c r="W41" s="12">
        <v>2051163.89</v>
      </c>
      <c r="X41" s="12"/>
      <c r="Y41" s="12">
        <f t="shared" si="0"/>
        <v>2051163.89</v>
      </c>
      <c r="Z41" s="11" t="s">
        <v>224</v>
      </c>
      <c r="AA41" s="11"/>
      <c r="AB41" s="13"/>
      <c r="AC41" s="13" t="s">
        <v>26</v>
      </c>
      <c r="AD41" s="13">
        <v>0</v>
      </c>
      <c r="AE41" s="13"/>
      <c r="AF41" s="13">
        <v>8</v>
      </c>
      <c r="AG41" s="11"/>
      <c r="AH41" s="11"/>
      <c r="AI41" s="11" t="s">
        <v>48</v>
      </c>
    </row>
    <row r="42" spans="2:35" ht="102" customHeight="1" x14ac:dyDescent="0.25">
      <c r="B42" s="240"/>
      <c r="C42" s="225"/>
      <c r="D42" s="243"/>
      <c r="E42" s="243"/>
      <c r="F42" s="243"/>
      <c r="G42" s="244"/>
      <c r="H42" s="243"/>
      <c r="I42" s="238"/>
      <c r="J42" s="225"/>
      <c r="K42" s="237"/>
      <c r="L42" s="18"/>
      <c r="M42" s="13"/>
      <c r="N42" s="13"/>
      <c r="O42" s="13"/>
      <c r="P42" s="13"/>
      <c r="Q42" s="31"/>
      <c r="R42" s="18"/>
      <c r="S42" s="18"/>
      <c r="T42" s="233"/>
      <c r="U42" s="11" t="s">
        <v>173</v>
      </c>
      <c r="V42" s="11" t="s">
        <v>225</v>
      </c>
      <c r="W42" s="12"/>
      <c r="X42" s="12">
        <v>30000</v>
      </c>
      <c r="Y42" s="12">
        <f t="shared" si="0"/>
        <v>30000</v>
      </c>
      <c r="Z42" s="11" t="s">
        <v>226</v>
      </c>
      <c r="AA42" s="11"/>
      <c r="AB42" s="13"/>
      <c r="AC42" s="13" t="s">
        <v>146</v>
      </c>
      <c r="AD42" s="13">
        <v>0</v>
      </c>
      <c r="AE42" s="13"/>
      <c r="AF42" s="13">
        <v>80</v>
      </c>
      <c r="AG42" s="11"/>
      <c r="AH42" s="11"/>
      <c r="AI42" s="11" t="s">
        <v>131</v>
      </c>
    </row>
    <row r="46" spans="2:35" ht="15" customHeight="1" x14ac:dyDescent="0.25">
      <c r="B46" s="245" t="s">
        <v>227</v>
      </c>
      <c r="C46" s="246"/>
      <c r="D46" s="246"/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7"/>
      <c r="AI46" s="33"/>
    </row>
    <row r="47" spans="2:35" ht="28.5" customHeight="1" x14ac:dyDescent="0.25">
      <c r="B47" s="248" t="s">
        <v>228</v>
      </c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T47" s="249"/>
      <c r="U47" s="249"/>
      <c r="V47" s="249"/>
      <c r="W47" s="249"/>
      <c r="X47" s="249"/>
      <c r="Y47" s="249"/>
      <c r="Z47" s="249"/>
      <c r="AA47" s="249"/>
      <c r="AB47" s="249"/>
      <c r="AC47" s="249"/>
      <c r="AD47" s="249"/>
      <c r="AE47" s="249"/>
      <c r="AF47" s="249"/>
      <c r="AG47" s="249"/>
      <c r="AH47" s="250"/>
      <c r="AI47" s="33"/>
    </row>
    <row r="48" spans="2:35" ht="45" customHeight="1" x14ac:dyDescent="0.25">
      <c r="B48" s="248" t="s">
        <v>229</v>
      </c>
      <c r="C48" s="249"/>
      <c r="D48" s="249"/>
      <c r="E48" s="249"/>
      <c r="F48" s="249"/>
      <c r="G48" s="249"/>
      <c r="H48" s="249"/>
      <c r="I48" s="249"/>
      <c r="J48" s="249"/>
      <c r="K48" s="249"/>
      <c r="L48" s="249"/>
      <c r="M48" s="249"/>
      <c r="N48" s="249"/>
      <c r="O48" s="249"/>
      <c r="P48" s="249"/>
      <c r="Q48" s="249"/>
      <c r="R48" s="249"/>
      <c r="S48" s="249"/>
      <c r="T48" s="249"/>
      <c r="U48" s="249"/>
      <c r="V48" s="249"/>
      <c r="W48" s="249"/>
      <c r="X48" s="249"/>
      <c r="Y48" s="249"/>
      <c r="Z48" s="249"/>
      <c r="AA48" s="249"/>
      <c r="AB48" s="249"/>
      <c r="AC48" s="249"/>
      <c r="AD48" s="249"/>
      <c r="AE48" s="249"/>
      <c r="AF48" s="249"/>
      <c r="AG48" s="249"/>
      <c r="AH48" s="250"/>
      <c r="AI48" s="33"/>
    </row>
    <row r="49" spans="2:35" ht="16.5" customHeight="1" x14ac:dyDescent="0.25">
      <c r="B49" s="248" t="s">
        <v>230</v>
      </c>
      <c r="C49" s="249"/>
      <c r="D49" s="249"/>
      <c r="E49" s="249"/>
      <c r="F49" s="249"/>
      <c r="G49" s="249"/>
      <c r="H49" s="249"/>
      <c r="I49" s="249"/>
      <c r="J49" s="249"/>
      <c r="K49" s="249"/>
      <c r="L49" s="249"/>
      <c r="M49" s="249"/>
      <c r="N49" s="249"/>
      <c r="O49" s="249"/>
      <c r="P49" s="249"/>
      <c r="Q49" s="249"/>
      <c r="R49" s="249"/>
      <c r="S49" s="249"/>
      <c r="T49" s="249"/>
      <c r="U49" s="249"/>
      <c r="V49" s="249"/>
      <c r="W49" s="249"/>
      <c r="X49" s="249"/>
      <c r="Y49" s="249"/>
      <c r="Z49" s="249"/>
      <c r="AA49" s="249"/>
      <c r="AB49" s="249"/>
      <c r="AC49" s="249"/>
      <c r="AD49" s="249"/>
      <c r="AE49" s="249"/>
      <c r="AF49" s="249"/>
      <c r="AG49" s="249"/>
      <c r="AH49" s="250"/>
      <c r="AI49" s="33"/>
    </row>
    <row r="50" spans="2:35" ht="39.75" customHeight="1" x14ac:dyDescent="0.25">
      <c r="B50" s="248" t="s">
        <v>231</v>
      </c>
      <c r="C50" s="249"/>
      <c r="D50" s="249"/>
      <c r="E50" s="249"/>
      <c r="F50" s="249"/>
      <c r="G50" s="249"/>
      <c r="H50" s="249"/>
      <c r="I50" s="249"/>
      <c r="J50" s="249"/>
      <c r="K50" s="249"/>
      <c r="L50" s="249"/>
      <c r="M50" s="249"/>
      <c r="N50" s="249"/>
      <c r="O50" s="249"/>
      <c r="P50" s="249"/>
      <c r="Q50" s="249"/>
      <c r="R50" s="249"/>
      <c r="S50" s="249"/>
      <c r="T50" s="249"/>
      <c r="U50" s="249"/>
      <c r="V50" s="249"/>
      <c r="W50" s="249"/>
      <c r="X50" s="249"/>
      <c r="Y50" s="249"/>
      <c r="Z50" s="249"/>
      <c r="AA50" s="249"/>
      <c r="AB50" s="249"/>
      <c r="AC50" s="249"/>
      <c r="AD50" s="249"/>
      <c r="AE50" s="249"/>
      <c r="AF50" s="249"/>
      <c r="AG50" s="249"/>
      <c r="AH50" s="250"/>
      <c r="AI50" s="33"/>
    </row>
    <row r="51" spans="2:35" ht="31.5" customHeight="1" x14ac:dyDescent="0.25">
      <c r="B51" s="251" t="s">
        <v>232</v>
      </c>
      <c r="C51" s="252"/>
      <c r="D51" s="252"/>
      <c r="E51" s="252"/>
      <c r="F51" s="252"/>
      <c r="G51" s="252"/>
      <c r="H51" s="252"/>
      <c r="I51" s="252"/>
      <c r="J51" s="252"/>
      <c r="K51" s="252"/>
      <c r="L51" s="252"/>
      <c r="M51" s="252"/>
      <c r="N51" s="252"/>
      <c r="O51" s="252"/>
      <c r="P51" s="252"/>
      <c r="Q51" s="252"/>
      <c r="R51" s="252"/>
      <c r="S51" s="252"/>
      <c r="T51" s="252"/>
      <c r="U51" s="252"/>
      <c r="V51" s="252"/>
      <c r="W51" s="252"/>
      <c r="X51" s="252"/>
      <c r="Y51" s="252"/>
      <c r="Z51" s="252"/>
      <c r="AA51" s="252"/>
      <c r="AB51" s="252"/>
      <c r="AC51" s="252"/>
      <c r="AD51" s="252"/>
      <c r="AE51" s="252"/>
      <c r="AF51" s="252"/>
      <c r="AG51" s="252"/>
      <c r="AH51" s="253"/>
      <c r="AI51" s="33"/>
    </row>
    <row r="52" spans="2:35" ht="18.75" customHeight="1" x14ac:dyDescent="0.25"/>
    <row r="53" spans="2:35" x14ac:dyDescent="0.25">
      <c r="B53" s="35"/>
    </row>
  </sheetData>
  <autoFilter ref="B4:AI42">
    <filterColumn colId="31" showButton="0"/>
  </autoFilter>
  <mergeCells count="155">
    <mergeCell ref="B46:AH46"/>
    <mergeCell ref="B47:AH47"/>
    <mergeCell ref="B48:AH48"/>
    <mergeCell ref="B49:AH49"/>
    <mergeCell ref="B50:AH50"/>
    <mergeCell ref="B51:AH51"/>
    <mergeCell ref="R35:R36"/>
    <mergeCell ref="S35:S36"/>
    <mergeCell ref="T37:T39"/>
    <mergeCell ref="G40:G42"/>
    <mergeCell ref="I40:I42"/>
    <mergeCell ref="T40:T42"/>
    <mergeCell ref="I33:I39"/>
    <mergeCell ref="J33:J42"/>
    <mergeCell ref="K33:K42"/>
    <mergeCell ref="T33:T36"/>
    <mergeCell ref="L35:L36"/>
    <mergeCell ref="M35:M36"/>
    <mergeCell ref="N35:N36"/>
    <mergeCell ref="O35:O36"/>
    <mergeCell ref="P35:P36"/>
    <mergeCell ref="Q35:Q36"/>
    <mergeCell ref="C33:C42"/>
    <mergeCell ref="D33:D42"/>
    <mergeCell ref="K22:K32"/>
    <mergeCell ref="T22:T24"/>
    <mergeCell ref="G25:G29"/>
    <mergeCell ref="I25:I29"/>
    <mergeCell ref="R25:R29"/>
    <mergeCell ref="T25:T29"/>
    <mergeCell ref="I30:I32"/>
    <mergeCell ref="J30:J32"/>
    <mergeCell ref="T30:T32"/>
    <mergeCell ref="G30:G32"/>
    <mergeCell ref="H30:H32"/>
    <mergeCell ref="B22:B42"/>
    <mergeCell ref="C22:C29"/>
    <mergeCell ref="D22:D29"/>
    <mergeCell ref="E22:E29"/>
    <mergeCell ref="F22:F29"/>
    <mergeCell ref="G22:G24"/>
    <mergeCell ref="H22:H29"/>
    <mergeCell ref="I22:I24"/>
    <mergeCell ref="J22:J29"/>
    <mergeCell ref="E33:E42"/>
    <mergeCell ref="F33:F42"/>
    <mergeCell ref="G33:G39"/>
    <mergeCell ref="H33:H42"/>
    <mergeCell ref="C30:C32"/>
    <mergeCell ref="D30:D32"/>
    <mergeCell ref="E30:E32"/>
    <mergeCell ref="F30:F32"/>
    <mergeCell ref="R18:R19"/>
    <mergeCell ref="S18:S19"/>
    <mergeCell ref="T18:T21"/>
    <mergeCell ref="L20:L21"/>
    <mergeCell ref="M20:M21"/>
    <mergeCell ref="N20:N21"/>
    <mergeCell ref="O20:O21"/>
    <mergeCell ref="P20:P21"/>
    <mergeCell ref="Q20:Q21"/>
    <mergeCell ref="R20:R21"/>
    <mergeCell ref="L18:L19"/>
    <mergeCell ref="M18:M19"/>
    <mergeCell ref="N18:N19"/>
    <mergeCell ref="O18:O19"/>
    <mergeCell ref="P18:P19"/>
    <mergeCell ref="Q18:Q19"/>
    <mergeCell ref="S20:S21"/>
    <mergeCell ref="R10:R13"/>
    <mergeCell ref="S10:S13"/>
    <mergeCell ref="T10:T12"/>
    <mergeCell ref="T13:T16"/>
    <mergeCell ref="L14:L16"/>
    <mergeCell ref="M14:M16"/>
    <mergeCell ref="N14:N16"/>
    <mergeCell ref="O14:O16"/>
    <mergeCell ref="P14:P16"/>
    <mergeCell ref="Q14:Q16"/>
    <mergeCell ref="L10:L13"/>
    <mergeCell ref="M10:M13"/>
    <mergeCell ref="N10:N13"/>
    <mergeCell ref="O10:O13"/>
    <mergeCell ref="P10:P13"/>
    <mergeCell ref="Q10:Q13"/>
    <mergeCell ref="R14:R16"/>
    <mergeCell ref="S14:S16"/>
    <mergeCell ref="C10:C16"/>
    <mergeCell ref="D10:D16"/>
    <mergeCell ref="E10:E16"/>
    <mergeCell ref="F10:F16"/>
    <mergeCell ref="G10:G16"/>
    <mergeCell ref="H10:H16"/>
    <mergeCell ref="I10:I16"/>
    <mergeCell ref="J10:J16"/>
    <mergeCell ref="K10:K21"/>
    <mergeCell ref="C18:C21"/>
    <mergeCell ref="D18:D21"/>
    <mergeCell ref="E18:E21"/>
    <mergeCell ref="F18:F21"/>
    <mergeCell ref="G18:G21"/>
    <mergeCell ref="H18:H21"/>
    <mergeCell ref="I18:I21"/>
    <mergeCell ref="J18:J21"/>
    <mergeCell ref="Q6:Q7"/>
    <mergeCell ref="R6:R7"/>
    <mergeCell ref="S6:S7"/>
    <mergeCell ref="T6:T7"/>
    <mergeCell ref="I6:I9"/>
    <mergeCell ref="J6:J9"/>
    <mergeCell ref="K6:K9"/>
    <mergeCell ref="L6:L7"/>
    <mergeCell ref="M6:M7"/>
    <mergeCell ref="N6:N7"/>
    <mergeCell ref="T8:T9"/>
    <mergeCell ref="AI4:AI5"/>
    <mergeCell ref="B6:B21"/>
    <mergeCell ref="C6:C9"/>
    <mergeCell ref="D6:D9"/>
    <mergeCell ref="E6:E9"/>
    <mergeCell ref="F6:F9"/>
    <mergeCell ref="G6:G9"/>
    <mergeCell ref="H6:H9"/>
    <mergeCell ref="Y4:Y5"/>
    <mergeCell ref="Z4:Z5"/>
    <mergeCell ref="AB4:AB5"/>
    <mergeCell ref="AC4:AC5"/>
    <mergeCell ref="AD4:AD5"/>
    <mergeCell ref="AE4:AE5"/>
    <mergeCell ref="Q4:Q5"/>
    <mergeCell ref="R4:R5"/>
    <mergeCell ref="S4:S5"/>
    <mergeCell ref="T4:T5"/>
    <mergeCell ref="U4:U5"/>
    <mergeCell ref="V4:V5"/>
    <mergeCell ref="K4:K5"/>
    <mergeCell ref="L4:L5"/>
    <mergeCell ref="O6:O7"/>
    <mergeCell ref="P6:P7"/>
    <mergeCell ref="M4:M5"/>
    <mergeCell ref="N4:N5"/>
    <mergeCell ref="O4:O5"/>
    <mergeCell ref="P4:P5"/>
    <mergeCell ref="C2:AH2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F4:AF5"/>
    <mergeCell ref="AG4:AH4"/>
  </mergeCells>
  <pageMargins left="0.23622047244094491" right="0.23622047244094491" top="0.74803149606299213" bottom="0.74803149606299213" header="0.31496062992125984" footer="0.31496062992125984"/>
  <pageSetup paperSize="8" scale="49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AM45"/>
  <sheetViews>
    <sheetView tabSelected="1" view="pageBreakPreview" topLeftCell="O1" zoomScale="85" zoomScaleNormal="100" zoomScaleSheetLayoutView="85" workbookViewId="0">
      <selection activeCell="V23" sqref="V23"/>
    </sheetView>
  </sheetViews>
  <sheetFormatPr defaultRowHeight="15" x14ac:dyDescent="0.25"/>
  <cols>
    <col min="1" max="1" width="4.85546875" style="80" customWidth="1"/>
    <col min="2" max="2" width="12.140625" style="100" customWidth="1"/>
    <col min="3" max="3" width="16.140625" style="100" customWidth="1"/>
    <col min="4" max="4" width="16.7109375" style="80" customWidth="1"/>
    <col min="5" max="5" width="9.140625" style="80"/>
    <col min="6" max="6" width="9.85546875" style="80" customWidth="1"/>
    <col min="7" max="7" width="10.28515625" style="80" bestFit="1" customWidth="1"/>
    <col min="8" max="8" width="13.42578125" style="80" hidden="1" customWidth="1"/>
    <col min="9" max="9" width="13.42578125" style="80" customWidth="1"/>
    <col min="10" max="10" width="14.140625" style="100" customWidth="1"/>
    <col min="11" max="11" width="16.140625" style="100" customWidth="1"/>
    <col min="12" max="12" width="17.28515625" style="80" customWidth="1"/>
    <col min="13" max="13" width="17.140625" style="80" customWidth="1"/>
    <col min="14" max="14" width="9.140625" style="80"/>
    <col min="15" max="15" width="17.28515625" style="80" customWidth="1"/>
    <col min="16" max="16" width="15.140625" style="80" bestFit="1" customWidth="1"/>
    <col min="17" max="17" width="13.42578125" style="80" hidden="1" customWidth="1"/>
    <col min="18" max="18" width="17.5703125" style="80" customWidth="1"/>
    <col min="19" max="19" width="17.140625" style="100" customWidth="1"/>
    <col min="20" max="20" width="16.140625" style="100" customWidth="1"/>
    <col min="21" max="21" width="20.42578125" style="80" customWidth="1"/>
    <col min="22" max="22" width="21.140625" style="80" customWidth="1"/>
    <col min="23" max="23" width="17" style="101" customWidth="1"/>
    <col min="24" max="24" width="9.28515625" style="102" customWidth="1"/>
    <col min="25" max="25" width="15.28515625" style="101" customWidth="1"/>
    <col min="26" max="26" width="11.5703125" style="102" customWidth="1"/>
    <col min="27" max="27" width="13.140625" style="101" customWidth="1"/>
    <col min="28" max="28" width="9.7109375" style="102" customWidth="1"/>
    <col min="29" max="29" width="16.42578125" style="101" customWidth="1"/>
    <col min="30" max="30" width="33.28515625" style="80" customWidth="1"/>
    <col min="31" max="31" width="10" style="80" customWidth="1"/>
    <col min="32" max="32" width="10.42578125" style="80" customWidth="1"/>
    <col min="33" max="33" width="9.140625" style="80"/>
    <col min="34" max="34" width="9.85546875" style="80" customWidth="1"/>
    <col min="35" max="35" width="9.42578125" style="80" customWidth="1"/>
    <col min="36" max="37" width="12.7109375" style="80" hidden="1" customWidth="1"/>
    <col min="38" max="38" width="20.42578125" style="80" customWidth="1"/>
    <col min="39" max="39" width="7.140625" style="80" customWidth="1"/>
    <col min="40" max="16384" width="9.140625" style="80"/>
  </cols>
  <sheetData>
    <row r="2" spans="2:39" x14ac:dyDescent="0.25">
      <c r="B2" s="206" t="s">
        <v>0</v>
      </c>
      <c r="C2" s="207" t="s">
        <v>391</v>
      </c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9"/>
      <c r="Y2" s="208"/>
      <c r="Z2" s="209"/>
      <c r="AA2" s="208"/>
      <c r="AB2" s="209"/>
      <c r="AC2" s="208"/>
      <c r="AD2" s="208"/>
      <c r="AE2" s="208"/>
      <c r="AF2" s="208"/>
      <c r="AG2" s="208"/>
      <c r="AH2" s="208"/>
      <c r="AI2" s="208"/>
      <c r="AJ2" s="208"/>
      <c r="AK2" s="210"/>
      <c r="AL2" s="211"/>
    </row>
    <row r="3" spans="2:39" x14ac:dyDescent="0.25">
      <c r="B3" s="81"/>
      <c r="C3" s="81"/>
      <c r="D3" s="82"/>
      <c r="E3" s="82"/>
      <c r="F3" s="82"/>
      <c r="G3" s="82"/>
      <c r="H3" s="82"/>
      <c r="I3" s="82"/>
      <c r="J3" s="83"/>
      <c r="K3" s="83"/>
      <c r="L3" s="82"/>
      <c r="M3" s="82"/>
      <c r="N3" s="82"/>
      <c r="O3" s="82"/>
      <c r="P3" s="82"/>
      <c r="Q3" s="82"/>
      <c r="R3" s="82"/>
      <c r="S3" s="315" t="s">
        <v>315</v>
      </c>
      <c r="T3" s="315"/>
      <c r="U3" s="315"/>
      <c r="V3" s="315"/>
      <c r="W3" s="315"/>
      <c r="X3" s="315"/>
      <c r="Y3" s="315"/>
      <c r="Z3" s="315"/>
      <c r="AA3" s="315"/>
      <c r="AB3" s="315"/>
      <c r="AC3" s="315"/>
      <c r="AD3" s="315"/>
      <c r="AE3" s="315"/>
      <c r="AF3" s="315"/>
      <c r="AG3" s="315"/>
      <c r="AH3" s="315"/>
      <c r="AI3" s="315"/>
      <c r="AJ3" s="82"/>
      <c r="AK3" s="84"/>
      <c r="AL3" s="85"/>
    </row>
    <row r="4" spans="2:39" ht="54" customHeight="1" x14ac:dyDescent="0.25">
      <c r="B4" s="79" t="s">
        <v>2</v>
      </c>
      <c r="C4" s="79" t="s">
        <v>2</v>
      </c>
      <c r="D4" s="39" t="s">
        <v>3</v>
      </c>
      <c r="E4" s="38" t="s">
        <v>5</v>
      </c>
      <c r="F4" s="38" t="s">
        <v>6</v>
      </c>
      <c r="G4" s="38" t="s">
        <v>8</v>
      </c>
      <c r="H4" s="39" t="s">
        <v>9</v>
      </c>
      <c r="I4" s="39" t="s">
        <v>10</v>
      </c>
      <c r="J4" s="79" t="s">
        <v>11</v>
      </c>
      <c r="K4" s="79" t="s">
        <v>319</v>
      </c>
      <c r="L4" s="40" t="s">
        <v>12</v>
      </c>
      <c r="M4" s="41" t="s">
        <v>4</v>
      </c>
      <c r="N4" s="41" t="s">
        <v>5</v>
      </c>
      <c r="O4" s="41" t="s">
        <v>6</v>
      </c>
      <c r="P4" s="41" t="s">
        <v>8</v>
      </c>
      <c r="Q4" s="40" t="s">
        <v>9</v>
      </c>
      <c r="R4" s="40" t="s">
        <v>10</v>
      </c>
      <c r="S4" s="43" t="s">
        <v>13</v>
      </c>
      <c r="T4" s="43" t="s">
        <v>318</v>
      </c>
      <c r="U4" s="9" t="s">
        <v>14</v>
      </c>
      <c r="V4" s="9" t="s">
        <v>15</v>
      </c>
      <c r="W4" s="8" t="s">
        <v>312</v>
      </c>
      <c r="X4" s="54" t="s">
        <v>306</v>
      </c>
      <c r="Y4" s="8" t="s">
        <v>313</v>
      </c>
      <c r="Z4" s="54" t="s">
        <v>307</v>
      </c>
      <c r="AA4" s="8" t="s">
        <v>314</v>
      </c>
      <c r="AB4" s="54" t="s">
        <v>308</v>
      </c>
      <c r="AC4" s="8" t="s">
        <v>317</v>
      </c>
      <c r="AD4" s="9" t="s">
        <v>19</v>
      </c>
      <c r="AE4" s="42" t="s">
        <v>20</v>
      </c>
      <c r="AF4" s="41" t="s">
        <v>21</v>
      </c>
      <c r="AG4" s="41" t="s">
        <v>5</v>
      </c>
      <c r="AH4" s="41" t="s">
        <v>310</v>
      </c>
      <c r="AI4" s="41" t="s">
        <v>309</v>
      </c>
      <c r="AJ4" s="218" t="s">
        <v>9</v>
      </c>
      <c r="AK4" s="218"/>
      <c r="AL4" s="42" t="s">
        <v>10</v>
      </c>
    </row>
    <row r="5" spans="2:39" ht="86.25" customHeight="1" x14ac:dyDescent="0.25">
      <c r="B5" s="269" t="s">
        <v>24</v>
      </c>
      <c r="C5" s="271">
        <f>K5+K7</f>
        <v>11900000</v>
      </c>
      <c r="D5" s="281" t="s">
        <v>55</v>
      </c>
      <c r="E5" s="274" t="s">
        <v>178</v>
      </c>
      <c r="F5" s="305">
        <v>22913</v>
      </c>
      <c r="G5" s="306">
        <v>32241</v>
      </c>
      <c r="H5" s="307"/>
      <c r="I5" s="281" t="s">
        <v>57</v>
      </c>
      <c r="J5" s="278" t="s">
        <v>28</v>
      </c>
      <c r="K5" s="271">
        <f>T5+T6</f>
        <v>2500000</v>
      </c>
      <c r="L5" s="86" t="s">
        <v>303</v>
      </c>
      <c r="M5" s="87" t="s">
        <v>304</v>
      </c>
      <c r="N5" s="88" t="s">
        <v>26</v>
      </c>
      <c r="O5" s="88">
        <v>0</v>
      </c>
      <c r="P5" s="88">
        <v>8</v>
      </c>
      <c r="Q5" s="86"/>
      <c r="R5" s="86" t="s">
        <v>31</v>
      </c>
      <c r="S5" s="191" t="s">
        <v>32</v>
      </c>
      <c r="T5" s="192">
        <f>AC5</f>
        <v>1600000</v>
      </c>
      <c r="U5" s="89" t="s">
        <v>33</v>
      </c>
      <c r="V5" s="89" t="s">
        <v>34</v>
      </c>
      <c r="W5" s="90">
        <v>800000</v>
      </c>
      <c r="X5" s="91">
        <v>4</v>
      </c>
      <c r="Y5" s="90">
        <v>800000</v>
      </c>
      <c r="Z5" s="91">
        <v>4</v>
      </c>
      <c r="AA5" s="90">
        <v>0</v>
      </c>
      <c r="AB5" s="91">
        <v>0</v>
      </c>
      <c r="AC5" s="90">
        <f>SUM(W5,Y5)</f>
        <v>1600000</v>
      </c>
      <c r="AD5" s="89" t="s">
        <v>305</v>
      </c>
      <c r="AE5" s="89" t="s">
        <v>299</v>
      </c>
      <c r="AF5" s="85" t="s">
        <v>299</v>
      </c>
      <c r="AG5" s="87" t="s">
        <v>26</v>
      </c>
      <c r="AH5" s="87">
        <v>0</v>
      </c>
      <c r="AI5" s="87">
        <v>8</v>
      </c>
      <c r="AJ5" s="89"/>
      <c r="AK5" s="89"/>
      <c r="AL5" s="89" t="s">
        <v>37</v>
      </c>
    </row>
    <row r="6" spans="2:39" ht="129" customHeight="1" x14ac:dyDescent="0.25">
      <c r="B6" s="270"/>
      <c r="C6" s="272"/>
      <c r="D6" s="301"/>
      <c r="E6" s="275"/>
      <c r="F6" s="276"/>
      <c r="G6" s="306"/>
      <c r="H6" s="307"/>
      <c r="I6" s="301"/>
      <c r="J6" s="279"/>
      <c r="K6" s="272"/>
      <c r="L6" s="92" t="s">
        <v>386</v>
      </c>
      <c r="M6" s="87" t="s">
        <v>47</v>
      </c>
      <c r="N6" s="93" t="s">
        <v>26</v>
      </c>
      <c r="O6" s="93">
        <v>0</v>
      </c>
      <c r="P6" s="93">
        <v>6</v>
      </c>
      <c r="Q6" s="92"/>
      <c r="R6" s="92" t="s">
        <v>42</v>
      </c>
      <c r="S6" s="191" t="s">
        <v>43</v>
      </c>
      <c r="T6" s="192">
        <f>AC6</f>
        <v>900000</v>
      </c>
      <c r="U6" s="89" t="s">
        <v>44</v>
      </c>
      <c r="V6" s="89" t="s">
        <v>45</v>
      </c>
      <c r="W6" s="90">
        <v>600000</v>
      </c>
      <c r="X6" s="91">
        <v>3</v>
      </c>
      <c r="Y6" s="90">
        <v>300000</v>
      </c>
      <c r="Z6" s="91">
        <v>3</v>
      </c>
      <c r="AA6" s="90">
        <v>0</v>
      </c>
      <c r="AB6" s="91">
        <v>0</v>
      </c>
      <c r="AC6" s="90">
        <f t="shared" ref="AC6:AC29" si="0">SUM(W6,Y6)</f>
        <v>900000</v>
      </c>
      <c r="AD6" s="89" t="s">
        <v>294</v>
      </c>
      <c r="AE6" s="89" t="s">
        <v>299</v>
      </c>
      <c r="AF6" s="85" t="s">
        <v>299</v>
      </c>
      <c r="AG6" s="87" t="s">
        <v>26</v>
      </c>
      <c r="AH6" s="87">
        <v>0</v>
      </c>
      <c r="AI6" s="87">
        <v>6</v>
      </c>
      <c r="AJ6" s="89"/>
      <c r="AK6" s="89"/>
      <c r="AL6" s="89" t="s">
        <v>48</v>
      </c>
    </row>
    <row r="7" spans="2:39" ht="96.75" customHeight="1" x14ac:dyDescent="0.25">
      <c r="B7" s="270"/>
      <c r="C7" s="272"/>
      <c r="D7" s="281" t="s">
        <v>88</v>
      </c>
      <c r="E7" s="274" t="s">
        <v>26</v>
      </c>
      <c r="F7" s="274">
        <v>17397</v>
      </c>
      <c r="G7" s="274">
        <v>19984</v>
      </c>
      <c r="H7" s="303"/>
      <c r="I7" s="281" t="s">
        <v>89</v>
      </c>
      <c r="J7" s="277" t="s">
        <v>58</v>
      </c>
      <c r="K7" s="293">
        <f>SUM(T7:T12)</f>
        <v>9400000</v>
      </c>
      <c r="L7" s="273" t="s">
        <v>59</v>
      </c>
      <c r="M7" s="274" t="s">
        <v>300</v>
      </c>
      <c r="N7" s="276" t="s">
        <v>26</v>
      </c>
      <c r="O7" s="276">
        <v>0</v>
      </c>
      <c r="P7" s="276">
        <f>15+8+12+5</f>
        <v>40</v>
      </c>
      <c r="Q7" s="273"/>
      <c r="R7" s="273" t="s">
        <v>42</v>
      </c>
      <c r="S7" s="191" t="s">
        <v>60</v>
      </c>
      <c r="T7" s="192">
        <f>AC7</f>
        <v>2900000</v>
      </c>
      <c r="U7" s="94" t="s">
        <v>64</v>
      </c>
      <c r="V7" s="94" t="s">
        <v>62</v>
      </c>
      <c r="W7" s="95">
        <f>800000+600000</f>
        <v>1400000</v>
      </c>
      <c r="X7" s="96">
        <v>6</v>
      </c>
      <c r="Y7" s="95">
        <f>800000+600000+100000</f>
        <v>1500000</v>
      </c>
      <c r="Z7" s="96">
        <v>7</v>
      </c>
      <c r="AA7" s="95">
        <v>0</v>
      </c>
      <c r="AB7" s="96">
        <v>0</v>
      </c>
      <c r="AC7" s="95">
        <f t="shared" si="0"/>
        <v>2900000</v>
      </c>
      <c r="AD7" s="94" t="s">
        <v>380</v>
      </c>
      <c r="AE7" s="94" t="s">
        <v>299</v>
      </c>
      <c r="AF7" s="87" t="s">
        <v>299</v>
      </c>
      <c r="AG7" s="93" t="s">
        <v>26</v>
      </c>
      <c r="AH7" s="93">
        <v>0</v>
      </c>
      <c r="AI7" s="93">
        <f>8+5</f>
        <v>13</v>
      </c>
      <c r="AJ7" s="94"/>
      <c r="AK7" s="94"/>
      <c r="AL7" s="94" t="s">
        <v>37</v>
      </c>
    </row>
    <row r="8" spans="2:39" ht="51" customHeight="1" x14ac:dyDescent="0.25">
      <c r="B8" s="270"/>
      <c r="C8" s="272"/>
      <c r="D8" s="301"/>
      <c r="E8" s="275"/>
      <c r="F8" s="275"/>
      <c r="G8" s="275"/>
      <c r="H8" s="304"/>
      <c r="I8" s="301"/>
      <c r="J8" s="277"/>
      <c r="K8" s="294"/>
      <c r="L8" s="273"/>
      <c r="M8" s="275"/>
      <c r="N8" s="276"/>
      <c r="O8" s="276"/>
      <c r="P8" s="276"/>
      <c r="Q8" s="273"/>
      <c r="R8" s="273"/>
      <c r="S8" s="312" t="s">
        <v>69</v>
      </c>
      <c r="T8" s="185"/>
      <c r="U8" s="94" t="s">
        <v>70</v>
      </c>
      <c r="V8" s="94" t="s">
        <v>71</v>
      </c>
      <c r="W8" s="95">
        <f>300000</f>
        <v>300000</v>
      </c>
      <c r="X8" s="96">
        <v>3</v>
      </c>
      <c r="Y8" s="95">
        <v>500000</v>
      </c>
      <c r="Z8" s="96">
        <v>5</v>
      </c>
      <c r="AA8" s="95">
        <v>0</v>
      </c>
      <c r="AB8" s="96">
        <v>0</v>
      </c>
      <c r="AC8" s="95">
        <f>SUM(W8,Y8)</f>
        <v>800000</v>
      </c>
      <c r="AD8" s="94" t="s">
        <v>72</v>
      </c>
      <c r="AE8" s="94" t="s">
        <v>295</v>
      </c>
      <c r="AF8" s="93" t="s">
        <v>73</v>
      </c>
      <c r="AG8" s="93" t="s">
        <v>26</v>
      </c>
      <c r="AH8" s="93">
        <v>0</v>
      </c>
      <c r="AI8" s="93">
        <v>8</v>
      </c>
      <c r="AJ8" s="94"/>
      <c r="AK8" s="94"/>
      <c r="AL8" s="94" t="s">
        <v>48</v>
      </c>
    </row>
    <row r="9" spans="2:39" ht="113.25" customHeight="1" x14ac:dyDescent="0.25">
      <c r="B9" s="270"/>
      <c r="C9" s="272"/>
      <c r="D9" s="281" t="s">
        <v>93</v>
      </c>
      <c r="E9" s="274" t="s">
        <v>26</v>
      </c>
      <c r="F9" s="274">
        <v>6346</v>
      </c>
      <c r="G9" s="274">
        <v>6409</v>
      </c>
      <c r="H9" s="281"/>
      <c r="I9" s="281" t="s">
        <v>94</v>
      </c>
      <c r="J9" s="277"/>
      <c r="K9" s="294"/>
      <c r="L9" s="92" t="s">
        <v>298</v>
      </c>
      <c r="M9" s="97" t="s">
        <v>299</v>
      </c>
      <c r="N9" s="97" t="s">
        <v>26</v>
      </c>
      <c r="O9" s="97">
        <v>131</v>
      </c>
      <c r="P9" s="97">
        <v>200</v>
      </c>
      <c r="Q9" s="92"/>
      <c r="R9" s="92" t="s">
        <v>75</v>
      </c>
      <c r="S9" s="313"/>
      <c r="T9" s="187">
        <f>AC8+AC9+AC10</f>
        <v>3600000</v>
      </c>
      <c r="U9" s="94" t="s">
        <v>76</v>
      </c>
      <c r="V9" s="94" t="s">
        <v>77</v>
      </c>
      <c r="W9" s="95">
        <v>600000</v>
      </c>
      <c r="X9" s="96">
        <v>5</v>
      </c>
      <c r="Y9" s="95">
        <f>1200000+500000</f>
        <v>1700000</v>
      </c>
      <c r="Z9" s="96">
        <v>10</v>
      </c>
      <c r="AA9" s="95">
        <v>0</v>
      </c>
      <c r="AB9" s="96">
        <v>0</v>
      </c>
      <c r="AC9" s="95">
        <f t="shared" si="0"/>
        <v>2300000</v>
      </c>
      <c r="AD9" s="94" t="s">
        <v>78</v>
      </c>
      <c r="AE9" s="94" t="s">
        <v>295</v>
      </c>
      <c r="AF9" s="93" t="s">
        <v>79</v>
      </c>
      <c r="AG9" s="93" t="s">
        <v>26</v>
      </c>
      <c r="AH9" s="93">
        <v>0</v>
      </c>
      <c r="AI9" s="93">
        <v>15</v>
      </c>
      <c r="AJ9" s="94"/>
      <c r="AK9" s="94"/>
      <c r="AL9" s="94" t="s">
        <v>48</v>
      </c>
    </row>
    <row r="10" spans="2:39" ht="63" customHeight="1" x14ac:dyDescent="0.25">
      <c r="B10" s="270"/>
      <c r="C10" s="272"/>
      <c r="D10" s="282"/>
      <c r="E10" s="302"/>
      <c r="F10" s="302"/>
      <c r="G10" s="302"/>
      <c r="H10" s="282"/>
      <c r="I10" s="282"/>
      <c r="J10" s="277"/>
      <c r="K10" s="294"/>
      <c r="L10" s="86" t="s">
        <v>90</v>
      </c>
      <c r="M10" s="97" t="s">
        <v>91</v>
      </c>
      <c r="N10" s="97" t="s">
        <v>26</v>
      </c>
      <c r="O10" s="97">
        <v>0</v>
      </c>
      <c r="P10" s="97">
        <v>2</v>
      </c>
      <c r="Q10" s="86"/>
      <c r="R10" s="86" t="s">
        <v>92</v>
      </c>
      <c r="S10" s="314"/>
      <c r="T10" s="186"/>
      <c r="U10" s="94" t="s">
        <v>80</v>
      </c>
      <c r="V10" s="94" t="s">
        <v>81</v>
      </c>
      <c r="W10" s="95">
        <v>0</v>
      </c>
      <c r="X10" s="96">
        <v>0</v>
      </c>
      <c r="Y10" s="95">
        <v>500000</v>
      </c>
      <c r="Z10" s="96">
        <v>1</v>
      </c>
      <c r="AA10" s="95">
        <v>0</v>
      </c>
      <c r="AB10" s="96">
        <v>0</v>
      </c>
      <c r="AC10" s="95">
        <f t="shared" ref="AC10" si="1">SUM(W10,Y10)</f>
        <v>500000</v>
      </c>
      <c r="AD10" s="94" t="s">
        <v>82</v>
      </c>
      <c r="AE10" s="94" t="s">
        <v>295</v>
      </c>
      <c r="AF10" s="93" t="s">
        <v>83</v>
      </c>
      <c r="AG10" s="93" t="s">
        <v>26</v>
      </c>
      <c r="AH10" s="93">
        <v>0</v>
      </c>
      <c r="AI10" s="93">
        <v>1</v>
      </c>
      <c r="AJ10" s="94"/>
      <c r="AK10" s="94"/>
      <c r="AL10" s="94" t="s">
        <v>48</v>
      </c>
    </row>
    <row r="11" spans="2:39" ht="84" customHeight="1" x14ac:dyDescent="0.25">
      <c r="B11" s="270"/>
      <c r="C11" s="272"/>
      <c r="D11" s="282"/>
      <c r="E11" s="302"/>
      <c r="F11" s="302"/>
      <c r="G11" s="302"/>
      <c r="H11" s="282"/>
      <c r="I11" s="282"/>
      <c r="J11" s="277"/>
      <c r="K11" s="294"/>
      <c r="L11" s="281" t="s">
        <v>95</v>
      </c>
      <c r="M11" s="276"/>
      <c r="N11" s="276" t="s">
        <v>26</v>
      </c>
      <c r="O11" s="276">
        <v>0</v>
      </c>
      <c r="P11" s="276">
        <v>26</v>
      </c>
      <c r="Q11" s="281"/>
      <c r="R11" s="281" t="s">
        <v>48</v>
      </c>
      <c r="S11" s="283" t="s">
        <v>96</v>
      </c>
      <c r="T11" s="185">
        <f>AC11+AC12</f>
        <v>2900000</v>
      </c>
      <c r="U11" s="94" t="s">
        <v>97</v>
      </c>
      <c r="V11" s="94" t="s">
        <v>296</v>
      </c>
      <c r="W11" s="95">
        <f>500000</f>
        <v>500000</v>
      </c>
      <c r="X11" s="96">
        <v>5</v>
      </c>
      <c r="Y11" s="95">
        <v>600000</v>
      </c>
      <c r="Z11" s="96">
        <v>6</v>
      </c>
      <c r="AA11" s="95">
        <v>0</v>
      </c>
      <c r="AB11" s="96">
        <v>0</v>
      </c>
      <c r="AC11" s="95">
        <f t="shared" si="0"/>
        <v>1100000</v>
      </c>
      <c r="AD11" s="94" t="s">
        <v>99</v>
      </c>
      <c r="AE11" s="94" t="s">
        <v>295</v>
      </c>
      <c r="AF11" s="93" t="s">
        <v>73</v>
      </c>
      <c r="AG11" s="93" t="s">
        <v>26</v>
      </c>
      <c r="AH11" s="93">
        <v>0</v>
      </c>
      <c r="AI11" s="93">
        <v>11</v>
      </c>
      <c r="AJ11" s="94"/>
      <c r="AK11" s="94"/>
      <c r="AL11" s="94" t="s">
        <v>37</v>
      </c>
    </row>
    <row r="12" spans="2:39" ht="56.25" customHeight="1" x14ac:dyDescent="0.25">
      <c r="B12" s="270"/>
      <c r="C12" s="272"/>
      <c r="D12" s="301"/>
      <c r="E12" s="275"/>
      <c r="F12" s="275"/>
      <c r="G12" s="275"/>
      <c r="H12" s="301"/>
      <c r="I12" s="301"/>
      <c r="J12" s="277"/>
      <c r="K12" s="294"/>
      <c r="L12" s="282"/>
      <c r="M12" s="276"/>
      <c r="N12" s="276"/>
      <c r="O12" s="276"/>
      <c r="P12" s="276"/>
      <c r="Q12" s="282"/>
      <c r="R12" s="282"/>
      <c r="S12" s="283"/>
      <c r="T12" s="186"/>
      <c r="U12" s="94" t="s">
        <v>76</v>
      </c>
      <c r="V12" s="94" t="s">
        <v>100</v>
      </c>
      <c r="W12" s="95">
        <v>600000</v>
      </c>
      <c r="X12" s="96">
        <v>5</v>
      </c>
      <c r="Y12" s="95">
        <v>1200000</v>
      </c>
      <c r="Z12" s="96">
        <v>10</v>
      </c>
      <c r="AA12" s="95">
        <v>0</v>
      </c>
      <c r="AB12" s="96">
        <v>0</v>
      </c>
      <c r="AC12" s="95">
        <f t="shared" si="0"/>
        <v>1800000</v>
      </c>
      <c r="AD12" s="94" t="s">
        <v>101</v>
      </c>
      <c r="AE12" s="94" t="s">
        <v>295</v>
      </c>
      <c r="AF12" s="93" t="s">
        <v>79</v>
      </c>
      <c r="AG12" s="93" t="s">
        <v>26</v>
      </c>
      <c r="AH12" s="93">
        <v>0</v>
      </c>
      <c r="AI12" s="93">
        <v>6</v>
      </c>
      <c r="AJ12" s="94"/>
      <c r="AK12" s="94"/>
      <c r="AL12" s="94" t="s">
        <v>37</v>
      </c>
      <c r="AM12" s="98"/>
    </row>
    <row r="13" spans="2:39" ht="133.5" customHeight="1" x14ac:dyDescent="0.25">
      <c r="B13" s="280" t="s">
        <v>111</v>
      </c>
      <c r="C13" s="293">
        <f>SUM(T13:T30)</f>
        <v>10120000</v>
      </c>
      <c r="D13" s="287" t="s">
        <v>163</v>
      </c>
      <c r="E13" s="289" t="s">
        <v>26</v>
      </c>
      <c r="F13" s="289">
        <v>13508</v>
      </c>
      <c r="G13" s="289">
        <v>19957</v>
      </c>
      <c r="H13" s="287"/>
      <c r="I13" s="287" t="s">
        <v>164</v>
      </c>
      <c r="J13" s="277" t="s">
        <v>112</v>
      </c>
      <c r="K13" s="293">
        <f>SUM(T13:T20)</f>
        <v>3370436.18</v>
      </c>
      <c r="L13" s="92" t="s">
        <v>334</v>
      </c>
      <c r="M13" s="97" t="s">
        <v>114</v>
      </c>
      <c r="N13" s="97" t="s">
        <v>115</v>
      </c>
      <c r="O13" s="97">
        <v>0</v>
      </c>
      <c r="P13" s="97">
        <v>1000</v>
      </c>
      <c r="Q13" s="92"/>
      <c r="R13" s="92" t="s">
        <v>116</v>
      </c>
      <c r="S13" s="283" t="s">
        <v>117</v>
      </c>
      <c r="T13" s="185">
        <f>AC13+AC14</f>
        <v>320000</v>
      </c>
      <c r="U13" s="94" t="s">
        <v>118</v>
      </c>
      <c r="V13" s="94" t="s">
        <v>119</v>
      </c>
      <c r="W13" s="95">
        <v>0</v>
      </c>
      <c r="X13" s="96">
        <v>0</v>
      </c>
      <c r="Y13" s="95">
        <f>160000+160000</f>
        <v>320000</v>
      </c>
      <c r="Z13" s="96">
        <v>60</v>
      </c>
      <c r="AA13" s="95">
        <v>0</v>
      </c>
      <c r="AB13" s="96">
        <v>0</v>
      </c>
      <c r="AC13" s="95">
        <f t="shared" si="0"/>
        <v>320000</v>
      </c>
      <c r="AD13" s="94" t="s">
        <v>381</v>
      </c>
      <c r="AE13" s="94" t="s">
        <v>295</v>
      </c>
      <c r="AF13" s="93" t="s">
        <v>121</v>
      </c>
      <c r="AG13" s="93" t="s">
        <v>26</v>
      </c>
      <c r="AH13" s="93">
        <v>0</v>
      </c>
      <c r="AI13" s="93">
        <v>60</v>
      </c>
      <c r="AJ13" s="94"/>
      <c r="AK13" s="94"/>
      <c r="AL13" s="94" t="s">
        <v>122</v>
      </c>
    </row>
    <row r="14" spans="2:39" ht="72.75" customHeight="1" x14ac:dyDescent="0.25">
      <c r="B14" s="280"/>
      <c r="C14" s="294"/>
      <c r="D14" s="272"/>
      <c r="E14" s="290"/>
      <c r="F14" s="290"/>
      <c r="G14" s="290"/>
      <c r="H14" s="272"/>
      <c r="I14" s="272"/>
      <c r="J14" s="277"/>
      <c r="K14" s="294"/>
      <c r="L14" s="92" t="s">
        <v>123</v>
      </c>
      <c r="M14" s="97" t="s">
        <v>124</v>
      </c>
      <c r="N14" s="97" t="s">
        <v>26</v>
      </c>
      <c r="O14" s="97">
        <v>0</v>
      </c>
      <c r="P14" s="97">
        <v>4</v>
      </c>
      <c r="Q14" s="92"/>
      <c r="R14" s="92" t="s">
        <v>125</v>
      </c>
      <c r="S14" s="283"/>
      <c r="T14" s="186"/>
      <c r="U14" s="94" t="s">
        <v>126</v>
      </c>
      <c r="V14" s="94" t="s">
        <v>127</v>
      </c>
      <c r="W14" s="95">
        <v>0</v>
      </c>
      <c r="X14" s="96">
        <v>0</v>
      </c>
      <c r="Y14" s="95">
        <v>0</v>
      </c>
      <c r="Z14" s="96">
        <v>1</v>
      </c>
      <c r="AA14" s="95">
        <v>0</v>
      </c>
      <c r="AB14" s="96">
        <v>0</v>
      </c>
      <c r="AC14" s="95">
        <f t="shared" si="0"/>
        <v>0</v>
      </c>
      <c r="AD14" s="94" t="s">
        <v>175</v>
      </c>
      <c r="AE14" s="94" t="s">
        <v>297</v>
      </c>
      <c r="AF14" s="93" t="s">
        <v>129</v>
      </c>
      <c r="AG14" s="93" t="s">
        <v>130</v>
      </c>
      <c r="AH14" s="93">
        <v>0</v>
      </c>
      <c r="AI14" s="93">
        <v>1</v>
      </c>
      <c r="AJ14" s="94"/>
      <c r="AK14" s="94"/>
      <c r="AL14" s="94" t="s">
        <v>131</v>
      </c>
    </row>
    <row r="15" spans="2:39" ht="107.25" customHeight="1" x14ac:dyDescent="0.25">
      <c r="B15" s="280"/>
      <c r="C15" s="294"/>
      <c r="D15" s="272"/>
      <c r="E15" s="290"/>
      <c r="F15" s="290"/>
      <c r="G15" s="290"/>
      <c r="H15" s="272"/>
      <c r="I15" s="272"/>
      <c r="J15" s="277"/>
      <c r="K15" s="294"/>
      <c r="L15" s="281" t="s">
        <v>135</v>
      </c>
      <c r="M15" s="308" t="s">
        <v>136</v>
      </c>
      <c r="N15" s="308" t="s">
        <v>137</v>
      </c>
      <c r="O15" s="308">
        <v>0</v>
      </c>
      <c r="P15" s="308">
        <v>20000</v>
      </c>
      <c r="Q15" s="273"/>
      <c r="R15" s="281" t="s">
        <v>138</v>
      </c>
      <c r="S15" s="283" t="s">
        <v>139</v>
      </c>
      <c r="T15" s="185"/>
      <c r="U15" s="322" t="s">
        <v>140</v>
      </c>
      <c r="V15" s="322" t="s">
        <v>141</v>
      </c>
      <c r="W15" s="95">
        <f>1845664.55+118771.63-119932.07</f>
        <v>1844504.11</v>
      </c>
      <c r="X15" s="96">
        <v>5</v>
      </c>
      <c r="Y15" s="95">
        <v>0</v>
      </c>
      <c r="Z15" s="96">
        <v>1</v>
      </c>
      <c r="AA15" s="95">
        <v>0</v>
      </c>
      <c r="AB15" s="96">
        <v>0</v>
      </c>
      <c r="AC15" s="95">
        <f>W15</f>
        <v>1844504.11</v>
      </c>
      <c r="AD15" s="94" t="s">
        <v>301</v>
      </c>
      <c r="AE15" s="94" t="s">
        <v>295</v>
      </c>
      <c r="AF15" s="93" t="s">
        <v>143</v>
      </c>
      <c r="AG15" s="93" t="s">
        <v>26</v>
      </c>
      <c r="AH15" s="93">
        <v>0</v>
      </c>
      <c r="AI15" s="93">
        <v>6</v>
      </c>
      <c r="AJ15" s="94"/>
      <c r="AK15" s="94"/>
      <c r="AL15" s="94" t="s">
        <v>48</v>
      </c>
    </row>
    <row r="16" spans="2:39" ht="60.75" customHeight="1" x14ac:dyDescent="0.25">
      <c r="B16" s="280"/>
      <c r="C16" s="294"/>
      <c r="D16" s="272"/>
      <c r="E16" s="290"/>
      <c r="F16" s="290"/>
      <c r="G16" s="290"/>
      <c r="H16" s="272"/>
      <c r="I16" s="272"/>
      <c r="J16" s="277"/>
      <c r="K16" s="294"/>
      <c r="L16" s="301"/>
      <c r="M16" s="309"/>
      <c r="N16" s="309"/>
      <c r="O16" s="309"/>
      <c r="P16" s="309"/>
      <c r="Q16" s="273"/>
      <c r="R16" s="301"/>
      <c r="S16" s="283"/>
      <c r="T16" s="187">
        <f>AC15+AC16+AC17</f>
        <v>2264436.1800000002</v>
      </c>
      <c r="U16" s="323"/>
      <c r="V16" s="323"/>
      <c r="W16" s="95">
        <v>119932.07</v>
      </c>
      <c r="X16" s="95">
        <v>0.06</v>
      </c>
      <c r="Y16" s="95">
        <v>0</v>
      </c>
      <c r="Z16" s="96">
        <v>0</v>
      </c>
      <c r="AA16" s="95">
        <v>0</v>
      </c>
      <c r="AB16" s="96">
        <v>0</v>
      </c>
      <c r="AC16" s="95">
        <f>W16</f>
        <v>119932.07</v>
      </c>
      <c r="AD16" s="94" t="s">
        <v>144</v>
      </c>
      <c r="AE16" s="94" t="s">
        <v>295</v>
      </c>
      <c r="AF16" s="93" t="s">
        <v>145</v>
      </c>
      <c r="AG16" s="93" t="s">
        <v>146</v>
      </c>
      <c r="AH16" s="93">
        <v>0</v>
      </c>
      <c r="AI16" s="93">
        <v>0.06</v>
      </c>
      <c r="AJ16" s="94"/>
      <c r="AK16" s="94"/>
      <c r="AL16" s="94" t="s">
        <v>48</v>
      </c>
    </row>
    <row r="17" spans="2:38" ht="162.75" customHeight="1" x14ac:dyDescent="0.25">
      <c r="B17" s="280"/>
      <c r="C17" s="294"/>
      <c r="D17" s="272"/>
      <c r="E17" s="290"/>
      <c r="F17" s="290"/>
      <c r="G17" s="290"/>
      <c r="H17" s="272"/>
      <c r="I17" s="272"/>
      <c r="J17" s="277"/>
      <c r="K17" s="294"/>
      <c r="L17" s="92" t="s">
        <v>387</v>
      </c>
      <c r="M17" s="93" t="s">
        <v>299</v>
      </c>
      <c r="N17" s="93" t="s">
        <v>137</v>
      </c>
      <c r="O17" s="93">
        <v>0</v>
      </c>
      <c r="P17" s="93">
        <v>1000</v>
      </c>
      <c r="Q17" s="273"/>
      <c r="R17" s="92" t="s">
        <v>148</v>
      </c>
      <c r="S17" s="283"/>
      <c r="T17" s="186"/>
      <c r="U17" s="94" t="s">
        <v>140</v>
      </c>
      <c r="V17" s="94" t="s">
        <v>149</v>
      </c>
      <c r="W17" s="95">
        <v>0</v>
      </c>
      <c r="X17" s="96">
        <v>0</v>
      </c>
      <c r="Y17" s="95">
        <v>150000</v>
      </c>
      <c r="Z17" s="96">
        <v>15</v>
      </c>
      <c r="AA17" s="95">
        <v>150000</v>
      </c>
      <c r="AB17" s="96">
        <v>15</v>
      </c>
      <c r="AC17" s="95">
        <f>SUM(W17,Y17,AA17)</f>
        <v>300000</v>
      </c>
      <c r="AD17" s="94" t="s">
        <v>382</v>
      </c>
      <c r="AE17" s="94" t="s">
        <v>295</v>
      </c>
      <c r="AF17" s="93" t="s">
        <v>151</v>
      </c>
      <c r="AG17" s="93" t="s">
        <v>26</v>
      </c>
      <c r="AH17" s="93">
        <v>0</v>
      </c>
      <c r="AI17" s="93">
        <v>30</v>
      </c>
      <c r="AJ17" s="94"/>
      <c r="AK17" s="94"/>
      <c r="AL17" s="94" t="s">
        <v>48</v>
      </c>
    </row>
    <row r="18" spans="2:38" ht="138" customHeight="1" x14ac:dyDescent="0.25">
      <c r="B18" s="280"/>
      <c r="C18" s="294"/>
      <c r="D18" s="272"/>
      <c r="E18" s="290"/>
      <c r="F18" s="290"/>
      <c r="G18" s="290"/>
      <c r="H18" s="272"/>
      <c r="I18" s="272"/>
      <c r="J18" s="277"/>
      <c r="K18" s="294"/>
      <c r="L18" s="287" t="s">
        <v>388</v>
      </c>
      <c r="M18" s="295" t="s">
        <v>299</v>
      </c>
      <c r="N18" s="295" t="s">
        <v>137</v>
      </c>
      <c r="O18" s="295">
        <v>0</v>
      </c>
      <c r="P18" s="297">
        <v>1000</v>
      </c>
      <c r="Q18" s="287"/>
      <c r="R18" s="287" t="s">
        <v>166</v>
      </c>
      <c r="S18" s="292" t="s">
        <v>167</v>
      </c>
      <c r="T18" s="193"/>
      <c r="U18" s="94" t="s">
        <v>168</v>
      </c>
      <c r="V18" s="94" t="s">
        <v>169</v>
      </c>
      <c r="W18" s="95">
        <v>0</v>
      </c>
      <c r="X18" s="96">
        <v>0</v>
      </c>
      <c r="Y18" s="95">
        <v>150000</v>
      </c>
      <c r="Z18" s="96">
        <v>3</v>
      </c>
      <c r="AA18" s="95">
        <v>150000</v>
      </c>
      <c r="AB18" s="96">
        <v>3</v>
      </c>
      <c r="AC18" s="95">
        <f>SUM(W18,Y18,AA18)</f>
        <v>300000</v>
      </c>
      <c r="AD18" s="94" t="s">
        <v>383</v>
      </c>
      <c r="AE18" s="94" t="s">
        <v>299</v>
      </c>
      <c r="AF18" s="93" t="s">
        <v>299</v>
      </c>
      <c r="AG18" s="93" t="s">
        <v>26</v>
      </c>
      <c r="AH18" s="93">
        <v>0</v>
      </c>
      <c r="AI18" s="93">
        <v>6</v>
      </c>
      <c r="AJ18" s="94"/>
      <c r="AK18" s="94"/>
      <c r="AL18" s="94" t="s">
        <v>171</v>
      </c>
    </row>
    <row r="19" spans="2:38" ht="140.25" x14ac:dyDescent="0.25">
      <c r="B19" s="280"/>
      <c r="C19" s="294"/>
      <c r="D19" s="272"/>
      <c r="E19" s="290"/>
      <c r="F19" s="290"/>
      <c r="G19" s="290"/>
      <c r="H19" s="272"/>
      <c r="I19" s="272"/>
      <c r="J19" s="277"/>
      <c r="K19" s="294"/>
      <c r="L19" s="288"/>
      <c r="M19" s="296"/>
      <c r="N19" s="296"/>
      <c r="O19" s="296"/>
      <c r="P19" s="298"/>
      <c r="Q19" s="288"/>
      <c r="R19" s="288"/>
      <c r="S19" s="292"/>
      <c r="T19" s="194">
        <f>AC18+AC19+AC20</f>
        <v>786000</v>
      </c>
      <c r="U19" s="94" t="s">
        <v>173</v>
      </c>
      <c r="V19" s="94" t="s">
        <v>316</v>
      </c>
      <c r="W19" s="95">
        <v>40000</v>
      </c>
      <c r="X19" s="96">
        <v>1</v>
      </c>
      <c r="Y19" s="95">
        <v>146000</v>
      </c>
      <c r="Z19" s="96">
        <v>1</v>
      </c>
      <c r="AA19" s="95">
        <v>30000</v>
      </c>
      <c r="AB19" s="96">
        <v>1</v>
      </c>
      <c r="AC19" s="95">
        <f>SUM(W19,Y19,AA19)</f>
        <v>216000</v>
      </c>
      <c r="AD19" s="94" t="s">
        <v>175</v>
      </c>
      <c r="AE19" s="94" t="s">
        <v>299</v>
      </c>
      <c r="AF19" s="93" t="s">
        <v>299</v>
      </c>
      <c r="AG19" s="93" t="s">
        <v>26</v>
      </c>
      <c r="AH19" s="93">
        <v>0</v>
      </c>
      <c r="AI19" s="93">
        <v>3</v>
      </c>
      <c r="AJ19" s="94"/>
      <c r="AK19" s="94"/>
      <c r="AL19" s="94" t="s">
        <v>176</v>
      </c>
    </row>
    <row r="20" spans="2:38" ht="144.75" customHeight="1" x14ac:dyDescent="0.25">
      <c r="B20" s="280"/>
      <c r="C20" s="294"/>
      <c r="D20" s="288"/>
      <c r="E20" s="291"/>
      <c r="F20" s="291"/>
      <c r="G20" s="291"/>
      <c r="H20" s="288"/>
      <c r="I20" s="288"/>
      <c r="J20" s="277"/>
      <c r="K20" s="294"/>
      <c r="L20" s="92" t="s">
        <v>390</v>
      </c>
      <c r="M20" s="97" t="s">
        <v>299</v>
      </c>
      <c r="N20" s="97" t="s">
        <v>178</v>
      </c>
      <c r="O20" s="97">
        <v>0</v>
      </c>
      <c r="P20" s="97">
        <v>1000</v>
      </c>
      <c r="Q20" s="92"/>
      <c r="R20" s="92" t="s">
        <v>179</v>
      </c>
      <c r="S20" s="292"/>
      <c r="T20" s="195"/>
      <c r="U20" s="94" t="s">
        <v>180</v>
      </c>
      <c r="V20" s="94" t="s">
        <v>181</v>
      </c>
      <c r="W20" s="95">
        <f>2*45000</f>
        <v>90000</v>
      </c>
      <c r="X20" s="96">
        <v>2</v>
      </c>
      <c r="Y20" s="95">
        <v>135000</v>
      </c>
      <c r="Z20" s="96">
        <v>3</v>
      </c>
      <c r="AA20" s="95">
        <v>45000</v>
      </c>
      <c r="AB20" s="96">
        <v>1</v>
      </c>
      <c r="AC20" s="95">
        <f>SUM(W20,Y20,AA20)</f>
        <v>270000</v>
      </c>
      <c r="AD20" s="94" t="s">
        <v>182</v>
      </c>
      <c r="AE20" s="94" t="s">
        <v>299</v>
      </c>
      <c r="AF20" s="93" t="s">
        <v>299</v>
      </c>
      <c r="AG20" s="93" t="s">
        <v>26</v>
      </c>
      <c r="AH20" s="93">
        <v>10</v>
      </c>
      <c r="AI20" s="93">
        <v>16</v>
      </c>
      <c r="AJ20" s="94"/>
      <c r="AK20" s="94"/>
      <c r="AL20" s="94" t="s">
        <v>183</v>
      </c>
    </row>
    <row r="21" spans="2:38" ht="67.5" customHeight="1" x14ac:dyDescent="0.25">
      <c r="B21" s="280"/>
      <c r="C21" s="294"/>
      <c r="D21" s="287" t="s">
        <v>184</v>
      </c>
      <c r="E21" s="289" t="s">
        <v>56</v>
      </c>
      <c r="F21" s="284">
        <v>0.92</v>
      </c>
      <c r="G21" s="284">
        <v>0.95</v>
      </c>
      <c r="H21" s="287"/>
      <c r="I21" s="287" t="s">
        <v>185</v>
      </c>
      <c r="J21" s="277" t="s">
        <v>186</v>
      </c>
      <c r="K21" s="293">
        <f>SUM(T21:T30)</f>
        <v>6749563.8200000003</v>
      </c>
      <c r="L21" s="281" t="s">
        <v>187</v>
      </c>
      <c r="M21" s="308" t="s">
        <v>299</v>
      </c>
      <c r="N21" s="308" t="s">
        <v>26</v>
      </c>
      <c r="O21" s="308">
        <v>0</v>
      </c>
      <c r="P21" s="308">
        <v>100</v>
      </c>
      <c r="Q21" s="281"/>
      <c r="R21" s="281" t="s">
        <v>188</v>
      </c>
      <c r="S21" s="283" t="s">
        <v>189</v>
      </c>
      <c r="T21" s="185"/>
      <c r="U21" s="322" t="s">
        <v>190</v>
      </c>
      <c r="V21" s="322" t="s">
        <v>191</v>
      </c>
      <c r="W21" s="327">
        <f>2*43000</f>
        <v>86000</v>
      </c>
      <c r="X21" s="316">
        <v>2</v>
      </c>
      <c r="Y21" s="327">
        <v>129000</v>
      </c>
      <c r="Z21" s="316">
        <v>3</v>
      </c>
      <c r="AA21" s="318">
        <v>43000</v>
      </c>
      <c r="AB21" s="316">
        <v>1</v>
      </c>
      <c r="AC21" s="327">
        <f>SUM(W21,Y21,AA21)</f>
        <v>258000</v>
      </c>
      <c r="AD21" s="94" t="s">
        <v>192</v>
      </c>
      <c r="AE21" s="94" t="s">
        <v>295</v>
      </c>
      <c r="AF21" s="93" t="s">
        <v>193</v>
      </c>
      <c r="AG21" s="93" t="s">
        <v>26</v>
      </c>
      <c r="AH21" s="93">
        <v>8</v>
      </c>
      <c r="AI21" s="93">
        <v>20</v>
      </c>
      <c r="AJ21" s="94"/>
      <c r="AK21" s="94"/>
      <c r="AL21" s="94" t="s">
        <v>194</v>
      </c>
    </row>
    <row r="22" spans="2:38" ht="129.75" customHeight="1" x14ac:dyDescent="0.2">
      <c r="B22" s="280"/>
      <c r="C22" s="294"/>
      <c r="D22" s="272"/>
      <c r="E22" s="290"/>
      <c r="F22" s="285"/>
      <c r="G22" s="285"/>
      <c r="H22" s="272"/>
      <c r="I22" s="272"/>
      <c r="J22" s="277"/>
      <c r="K22" s="294"/>
      <c r="L22" s="301"/>
      <c r="M22" s="309"/>
      <c r="N22" s="309"/>
      <c r="O22" s="309"/>
      <c r="P22" s="309"/>
      <c r="Q22" s="301"/>
      <c r="R22" s="301"/>
      <c r="S22" s="283"/>
      <c r="T22" s="188">
        <f>AC21+AC23+AC24</f>
        <v>478000</v>
      </c>
      <c r="U22" s="323"/>
      <c r="V22" s="323"/>
      <c r="W22" s="328"/>
      <c r="X22" s="317"/>
      <c r="Y22" s="328"/>
      <c r="Z22" s="317"/>
      <c r="AA22" s="319"/>
      <c r="AB22" s="317"/>
      <c r="AC22" s="328"/>
      <c r="AD22" s="94" t="s">
        <v>195</v>
      </c>
      <c r="AE22" s="94" t="s">
        <v>295</v>
      </c>
      <c r="AF22" s="93" t="s">
        <v>196</v>
      </c>
      <c r="AG22" s="93" t="s">
        <v>26</v>
      </c>
      <c r="AH22" s="93">
        <v>0</v>
      </c>
      <c r="AI22" s="93">
        <v>1</v>
      </c>
      <c r="AJ22" s="94"/>
      <c r="AK22" s="94"/>
      <c r="AL22" s="94" t="s">
        <v>194</v>
      </c>
    </row>
    <row r="23" spans="2:38" ht="100.5" customHeight="1" x14ac:dyDescent="0.25">
      <c r="B23" s="280"/>
      <c r="C23" s="294"/>
      <c r="D23" s="272"/>
      <c r="E23" s="290"/>
      <c r="F23" s="285"/>
      <c r="G23" s="285"/>
      <c r="H23" s="272"/>
      <c r="I23" s="272"/>
      <c r="J23" s="277"/>
      <c r="K23" s="294"/>
      <c r="L23" s="299" t="s">
        <v>389</v>
      </c>
      <c r="M23" s="295" t="s">
        <v>198</v>
      </c>
      <c r="N23" s="295" t="s">
        <v>26</v>
      </c>
      <c r="O23" s="295">
        <v>0</v>
      </c>
      <c r="P23" s="295">
        <v>2</v>
      </c>
      <c r="Q23" s="287"/>
      <c r="R23" s="287" t="s">
        <v>199</v>
      </c>
      <c r="S23" s="283"/>
      <c r="T23" s="187"/>
      <c r="U23" s="94" t="s">
        <v>200</v>
      </c>
      <c r="V23" s="94" t="s">
        <v>201</v>
      </c>
      <c r="W23" s="95">
        <v>220000</v>
      </c>
      <c r="X23" s="96">
        <v>1</v>
      </c>
      <c r="Y23" s="95">
        <v>0</v>
      </c>
      <c r="Z23" s="96">
        <v>0</v>
      </c>
      <c r="AA23" s="95">
        <v>0</v>
      </c>
      <c r="AB23" s="96">
        <v>0</v>
      </c>
      <c r="AC23" s="95">
        <f>SUM(W23,Y23,AA23)</f>
        <v>220000</v>
      </c>
      <c r="AD23" s="94" t="s">
        <v>202</v>
      </c>
      <c r="AE23" s="94" t="s">
        <v>297</v>
      </c>
      <c r="AF23" s="93" t="s">
        <v>129</v>
      </c>
      <c r="AG23" s="93" t="s">
        <v>26</v>
      </c>
      <c r="AH23" s="93">
        <v>1</v>
      </c>
      <c r="AI23" s="93">
        <v>3</v>
      </c>
      <c r="AJ23" s="94"/>
      <c r="AK23" s="94"/>
      <c r="AL23" s="94" t="s">
        <v>203</v>
      </c>
    </row>
    <row r="24" spans="2:38" ht="69.75" customHeight="1" x14ac:dyDescent="0.25">
      <c r="B24" s="280"/>
      <c r="C24" s="294"/>
      <c r="D24" s="272"/>
      <c r="E24" s="290"/>
      <c r="F24" s="285"/>
      <c r="G24" s="285"/>
      <c r="H24" s="272"/>
      <c r="I24" s="272"/>
      <c r="J24" s="277"/>
      <c r="K24" s="294"/>
      <c r="L24" s="300"/>
      <c r="M24" s="296"/>
      <c r="N24" s="296"/>
      <c r="O24" s="296"/>
      <c r="P24" s="296"/>
      <c r="Q24" s="288"/>
      <c r="R24" s="288"/>
      <c r="S24" s="283"/>
      <c r="T24" s="186"/>
      <c r="U24" s="94" t="s">
        <v>200</v>
      </c>
      <c r="V24" s="94" t="s">
        <v>204</v>
      </c>
      <c r="W24" s="95">
        <v>0</v>
      </c>
      <c r="X24" s="96">
        <v>0</v>
      </c>
      <c r="Y24" s="95">
        <v>0</v>
      </c>
      <c r="Z24" s="96">
        <v>1</v>
      </c>
      <c r="AA24" s="95">
        <v>0</v>
      </c>
      <c r="AB24" s="96">
        <v>0</v>
      </c>
      <c r="AC24" s="95">
        <f t="shared" si="0"/>
        <v>0</v>
      </c>
      <c r="AD24" s="94" t="s">
        <v>205</v>
      </c>
      <c r="AE24" s="94" t="s">
        <v>297</v>
      </c>
      <c r="AF24" s="93" t="s">
        <v>129</v>
      </c>
      <c r="AG24" s="93" t="s">
        <v>26</v>
      </c>
      <c r="AH24" s="93">
        <v>1</v>
      </c>
      <c r="AI24" s="93">
        <v>2</v>
      </c>
      <c r="AJ24" s="94"/>
      <c r="AK24" s="94"/>
      <c r="AL24" s="94" t="s">
        <v>203</v>
      </c>
    </row>
    <row r="25" spans="2:38" ht="68.25" customHeight="1" x14ac:dyDescent="0.25">
      <c r="B25" s="280"/>
      <c r="C25" s="294"/>
      <c r="D25" s="272"/>
      <c r="E25" s="290"/>
      <c r="F25" s="285"/>
      <c r="G25" s="285"/>
      <c r="H25" s="272"/>
      <c r="I25" s="272"/>
      <c r="J25" s="277"/>
      <c r="K25" s="294"/>
      <c r="L25" s="287" t="s">
        <v>206</v>
      </c>
      <c r="M25" s="289" t="s">
        <v>136</v>
      </c>
      <c r="N25" s="289" t="s">
        <v>26</v>
      </c>
      <c r="O25" s="289">
        <v>0</v>
      </c>
      <c r="P25" s="310">
        <v>20000</v>
      </c>
      <c r="Q25" s="287"/>
      <c r="R25" s="287" t="s">
        <v>207</v>
      </c>
      <c r="S25" s="283" t="s">
        <v>311</v>
      </c>
      <c r="T25" s="185"/>
      <c r="U25" s="322" t="s">
        <v>209</v>
      </c>
      <c r="V25" s="322" t="s">
        <v>210</v>
      </c>
      <c r="W25" s="95">
        <f>1377793.82+237770-266164</f>
        <v>1349399.82</v>
      </c>
      <c r="X25" s="96">
        <v>9</v>
      </c>
      <c r="Y25" s="95">
        <v>0</v>
      </c>
      <c r="Z25" s="96">
        <v>0</v>
      </c>
      <c r="AA25" s="95">
        <v>0</v>
      </c>
      <c r="AB25" s="96">
        <v>0</v>
      </c>
      <c r="AC25" s="95">
        <f>W25</f>
        <v>1349399.82</v>
      </c>
      <c r="AD25" s="94" t="s">
        <v>211</v>
      </c>
      <c r="AE25" s="94" t="s">
        <v>295</v>
      </c>
      <c r="AF25" s="93" t="s">
        <v>143</v>
      </c>
      <c r="AG25" s="93" t="s">
        <v>26</v>
      </c>
      <c r="AH25" s="93">
        <v>0</v>
      </c>
      <c r="AI25" s="93">
        <v>9</v>
      </c>
      <c r="AJ25" s="94"/>
      <c r="AK25" s="94"/>
      <c r="AL25" s="94" t="s">
        <v>48</v>
      </c>
    </row>
    <row r="26" spans="2:38" ht="100.5" customHeight="1" x14ac:dyDescent="0.25">
      <c r="B26" s="280"/>
      <c r="C26" s="294"/>
      <c r="D26" s="272"/>
      <c r="E26" s="290"/>
      <c r="F26" s="285"/>
      <c r="G26" s="285"/>
      <c r="H26" s="272"/>
      <c r="I26" s="272"/>
      <c r="J26" s="277"/>
      <c r="K26" s="294"/>
      <c r="L26" s="288"/>
      <c r="M26" s="291"/>
      <c r="N26" s="291"/>
      <c r="O26" s="291"/>
      <c r="P26" s="311"/>
      <c r="Q26" s="288"/>
      <c r="R26" s="288"/>
      <c r="S26" s="283"/>
      <c r="T26" s="187">
        <f>AC25+AC26+AC27</f>
        <v>1657563.82</v>
      </c>
      <c r="U26" s="323"/>
      <c r="V26" s="323"/>
      <c r="W26" s="95">
        <v>266164</v>
      </c>
      <c r="X26" s="95">
        <v>0.6</v>
      </c>
      <c r="Y26" s="95">
        <v>0</v>
      </c>
      <c r="Z26" s="96">
        <v>0</v>
      </c>
      <c r="AA26" s="95">
        <v>0</v>
      </c>
      <c r="AB26" s="96">
        <v>0</v>
      </c>
      <c r="AC26" s="95">
        <f>W26</f>
        <v>266164</v>
      </c>
      <c r="AD26" s="94" t="s">
        <v>144</v>
      </c>
      <c r="AE26" s="94" t="s">
        <v>295</v>
      </c>
      <c r="AF26" s="93" t="s">
        <v>145</v>
      </c>
      <c r="AG26" s="93" t="s">
        <v>146</v>
      </c>
      <c r="AH26" s="93">
        <v>0</v>
      </c>
      <c r="AI26" s="93">
        <v>0.6</v>
      </c>
      <c r="AJ26" s="94"/>
      <c r="AK26" s="94"/>
      <c r="AL26" s="94" t="s">
        <v>48</v>
      </c>
    </row>
    <row r="27" spans="2:38" ht="96" customHeight="1" x14ac:dyDescent="0.25">
      <c r="B27" s="280"/>
      <c r="C27" s="294"/>
      <c r="D27" s="272"/>
      <c r="E27" s="290"/>
      <c r="F27" s="285"/>
      <c r="G27" s="285"/>
      <c r="H27" s="272"/>
      <c r="I27" s="272"/>
      <c r="J27" s="277"/>
      <c r="K27" s="294"/>
      <c r="L27" s="299" t="s">
        <v>212</v>
      </c>
      <c r="M27" s="289" t="s">
        <v>299</v>
      </c>
      <c r="N27" s="289" t="s">
        <v>26</v>
      </c>
      <c r="O27" s="289">
        <v>0</v>
      </c>
      <c r="P27" s="310">
        <v>1000</v>
      </c>
      <c r="Q27" s="92"/>
      <c r="R27" s="287" t="s">
        <v>213</v>
      </c>
      <c r="S27" s="283"/>
      <c r="T27" s="186"/>
      <c r="U27" s="94" t="s">
        <v>173</v>
      </c>
      <c r="V27" s="94" t="s">
        <v>214</v>
      </c>
      <c r="W27" s="95">
        <v>0</v>
      </c>
      <c r="X27" s="96">
        <v>0</v>
      </c>
      <c r="Y27" s="95">
        <v>42000</v>
      </c>
      <c r="Z27" s="96">
        <v>50</v>
      </c>
      <c r="AA27" s="95">
        <v>0</v>
      </c>
      <c r="AB27" s="96">
        <v>0</v>
      </c>
      <c r="AC27" s="95">
        <f t="shared" si="0"/>
        <v>42000</v>
      </c>
      <c r="AD27" s="94" t="s">
        <v>215</v>
      </c>
      <c r="AE27" s="94" t="s">
        <v>295</v>
      </c>
      <c r="AF27" s="93" t="s">
        <v>216</v>
      </c>
      <c r="AG27" s="93" t="s">
        <v>146</v>
      </c>
      <c r="AH27" s="93">
        <v>0</v>
      </c>
      <c r="AI27" s="93">
        <v>50</v>
      </c>
      <c r="AJ27" s="94"/>
      <c r="AK27" s="94"/>
      <c r="AL27" s="94" t="s">
        <v>131</v>
      </c>
    </row>
    <row r="28" spans="2:38" ht="89.25" customHeight="1" x14ac:dyDescent="0.25">
      <c r="B28" s="280"/>
      <c r="C28" s="294"/>
      <c r="D28" s="272"/>
      <c r="E28" s="290"/>
      <c r="F28" s="285"/>
      <c r="G28" s="285"/>
      <c r="H28" s="272"/>
      <c r="I28" s="272"/>
      <c r="J28" s="277"/>
      <c r="K28" s="294"/>
      <c r="L28" s="320"/>
      <c r="M28" s="290"/>
      <c r="N28" s="290"/>
      <c r="O28" s="290"/>
      <c r="P28" s="321"/>
      <c r="Q28" s="92"/>
      <c r="R28" s="272"/>
      <c r="S28" s="324" t="s">
        <v>218</v>
      </c>
      <c r="T28" s="193"/>
      <c r="U28" s="94" t="s">
        <v>173</v>
      </c>
      <c r="V28" s="94" t="s">
        <v>225</v>
      </c>
      <c r="W28" s="95">
        <v>0</v>
      </c>
      <c r="X28" s="96">
        <v>0</v>
      </c>
      <c r="Y28" s="95">
        <v>30000</v>
      </c>
      <c r="Z28" s="96">
        <v>80</v>
      </c>
      <c r="AA28" s="95">
        <v>0</v>
      </c>
      <c r="AB28" s="96">
        <v>0</v>
      </c>
      <c r="AC28" s="95">
        <f>SUM(W28,Y28)</f>
        <v>30000</v>
      </c>
      <c r="AD28" s="94" t="s">
        <v>226</v>
      </c>
      <c r="AE28" s="94" t="s">
        <v>299</v>
      </c>
      <c r="AF28" s="93" t="s">
        <v>299</v>
      </c>
      <c r="AG28" s="93" t="s">
        <v>146</v>
      </c>
      <c r="AH28" s="93">
        <v>0</v>
      </c>
      <c r="AI28" s="93">
        <v>80</v>
      </c>
      <c r="AJ28" s="94"/>
      <c r="AK28" s="94"/>
      <c r="AL28" s="94" t="s">
        <v>131</v>
      </c>
    </row>
    <row r="29" spans="2:38" ht="51" x14ac:dyDescent="0.25">
      <c r="B29" s="280"/>
      <c r="C29" s="294"/>
      <c r="D29" s="272"/>
      <c r="E29" s="290"/>
      <c r="F29" s="285"/>
      <c r="G29" s="285"/>
      <c r="H29" s="272"/>
      <c r="I29" s="272"/>
      <c r="J29" s="277"/>
      <c r="K29" s="294"/>
      <c r="L29" s="300"/>
      <c r="M29" s="291"/>
      <c r="N29" s="291"/>
      <c r="O29" s="291"/>
      <c r="P29" s="311"/>
      <c r="Q29" s="92"/>
      <c r="R29" s="288"/>
      <c r="S29" s="325"/>
      <c r="T29" s="196">
        <f>AC28+AC29+AC30</f>
        <v>4614000</v>
      </c>
      <c r="U29" s="94" t="s">
        <v>222</v>
      </c>
      <c r="V29" s="94" t="s">
        <v>223</v>
      </c>
      <c r="W29" s="95">
        <v>2051163.89</v>
      </c>
      <c r="X29" s="96">
        <v>8</v>
      </c>
      <c r="Y29" s="95">
        <v>0</v>
      </c>
      <c r="Z29" s="96">
        <v>0</v>
      </c>
      <c r="AA29" s="95">
        <v>0</v>
      </c>
      <c r="AB29" s="96">
        <v>0</v>
      </c>
      <c r="AC29" s="95">
        <f t="shared" si="0"/>
        <v>2051163.89</v>
      </c>
      <c r="AD29" s="94" t="s">
        <v>384</v>
      </c>
      <c r="AE29" s="94" t="s">
        <v>299</v>
      </c>
      <c r="AF29" s="93" t="s">
        <v>299</v>
      </c>
      <c r="AG29" s="93" t="s">
        <v>26</v>
      </c>
      <c r="AH29" s="93">
        <v>0</v>
      </c>
      <c r="AI29" s="93">
        <v>8</v>
      </c>
      <c r="AJ29" s="94"/>
      <c r="AK29" s="94"/>
      <c r="AL29" s="94" t="s">
        <v>48</v>
      </c>
    </row>
    <row r="30" spans="2:38" ht="102" customHeight="1" x14ac:dyDescent="0.25">
      <c r="B30" s="280"/>
      <c r="C30" s="294"/>
      <c r="D30" s="288"/>
      <c r="E30" s="291"/>
      <c r="F30" s="286"/>
      <c r="G30" s="286"/>
      <c r="H30" s="288"/>
      <c r="I30" s="288"/>
      <c r="J30" s="277"/>
      <c r="K30" s="294"/>
      <c r="L30" s="92" t="s">
        <v>217</v>
      </c>
      <c r="M30" s="93" t="s">
        <v>302</v>
      </c>
      <c r="N30" s="93" t="s">
        <v>26</v>
      </c>
      <c r="O30" s="93">
        <v>0</v>
      </c>
      <c r="P30" s="93">
        <v>9</v>
      </c>
      <c r="Q30" s="92"/>
      <c r="R30" s="92" t="s">
        <v>48</v>
      </c>
      <c r="S30" s="326"/>
      <c r="T30" s="195"/>
      <c r="U30" s="94" t="s">
        <v>219</v>
      </c>
      <c r="V30" s="94" t="s">
        <v>220</v>
      </c>
      <c r="W30" s="95">
        <f>1798905+733931.11</f>
        <v>2532836.11</v>
      </c>
      <c r="X30" s="96">
        <v>9</v>
      </c>
      <c r="Y30" s="95">
        <v>0</v>
      </c>
      <c r="Z30" s="96">
        <v>0</v>
      </c>
      <c r="AA30" s="95">
        <v>0</v>
      </c>
      <c r="AB30" s="96">
        <v>0</v>
      </c>
      <c r="AC30" s="95">
        <f>SUM(W30,Y30)</f>
        <v>2532836.11</v>
      </c>
      <c r="AD30" s="94" t="s">
        <v>385</v>
      </c>
      <c r="AE30" s="94" t="s">
        <v>299</v>
      </c>
      <c r="AF30" s="93" t="s">
        <v>299</v>
      </c>
      <c r="AG30" s="93" t="s">
        <v>26</v>
      </c>
      <c r="AH30" s="93">
        <v>0</v>
      </c>
      <c r="AI30" s="93">
        <v>9</v>
      </c>
      <c r="AJ30" s="94"/>
      <c r="AK30" s="94"/>
      <c r="AL30" s="94" t="s">
        <v>48</v>
      </c>
    </row>
    <row r="31" spans="2:38" s="65" customFormat="1" ht="34.5" customHeight="1" x14ac:dyDescent="0.25">
      <c r="B31" s="60" t="s">
        <v>320</v>
      </c>
      <c r="C31" s="61">
        <f>SUM(C5:C30)</f>
        <v>22020000</v>
      </c>
      <c r="D31" s="71" t="s">
        <v>299</v>
      </c>
      <c r="E31" s="71" t="s">
        <v>299</v>
      </c>
      <c r="F31" s="71" t="s">
        <v>299</v>
      </c>
      <c r="G31" s="71" t="s">
        <v>299</v>
      </c>
      <c r="H31" s="71" t="s">
        <v>299</v>
      </c>
      <c r="I31" s="71" t="s">
        <v>299</v>
      </c>
      <c r="J31" s="71" t="s">
        <v>299</v>
      </c>
      <c r="K31" s="61">
        <f>SUM(K5:K30)</f>
        <v>22020000</v>
      </c>
      <c r="L31" s="62"/>
      <c r="M31" s="73" t="s">
        <v>332</v>
      </c>
      <c r="N31" s="48" t="s">
        <v>333</v>
      </c>
      <c r="O31" s="74">
        <f>T5+T6+T7+T8+T11+W30</f>
        <v>10832836.109999999</v>
      </c>
      <c r="P31" s="77">
        <f>P5+P6+P7+P11+P30</f>
        <v>89</v>
      </c>
      <c r="Q31" s="62"/>
      <c r="R31" s="62" t="s">
        <v>299</v>
      </c>
      <c r="S31" s="60" t="s">
        <v>299</v>
      </c>
      <c r="T31" s="189">
        <f>SUM(T5:T30)</f>
        <v>22020000</v>
      </c>
      <c r="U31" s="62" t="s">
        <v>299</v>
      </c>
      <c r="V31" s="62" t="s">
        <v>299</v>
      </c>
      <c r="W31" s="63">
        <f>SUM(W5:W30)</f>
        <v>13400000</v>
      </c>
      <c r="X31" s="64">
        <v>0</v>
      </c>
      <c r="Y31" s="63">
        <f>SUM(Y5:Y30)</f>
        <v>8202000</v>
      </c>
      <c r="Z31" s="64">
        <v>0</v>
      </c>
      <c r="AA31" s="63">
        <f>SUM(AA5:AA30)</f>
        <v>418000</v>
      </c>
      <c r="AB31" s="64">
        <v>0</v>
      </c>
      <c r="AC31" s="63">
        <f>SUM(AC5:AC30)</f>
        <v>22020000</v>
      </c>
    </row>
    <row r="32" spans="2:38" s="65" customFormat="1" ht="48.75" customHeight="1" x14ac:dyDescent="0.25">
      <c r="B32" s="66" t="s">
        <v>321</v>
      </c>
      <c r="C32" s="67">
        <f>T32</f>
        <v>11220000</v>
      </c>
      <c r="D32" s="72" t="s">
        <v>299</v>
      </c>
      <c r="E32" s="72" t="s">
        <v>299</v>
      </c>
      <c r="F32" s="72" t="s">
        <v>299</v>
      </c>
      <c r="G32" s="72" t="s">
        <v>299</v>
      </c>
      <c r="H32" s="72" t="s">
        <v>299</v>
      </c>
      <c r="I32" s="72" t="s">
        <v>299</v>
      </c>
      <c r="J32" s="72" t="s">
        <v>299</v>
      </c>
      <c r="K32" s="67">
        <f>T32</f>
        <v>11220000</v>
      </c>
      <c r="L32" s="70"/>
      <c r="M32" s="70" t="s">
        <v>321</v>
      </c>
      <c r="N32" s="76" t="s">
        <v>333</v>
      </c>
      <c r="O32" s="75">
        <f>W8+W9+W10+W11+W12</f>
        <v>2000000</v>
      </c>
      <c r="P32" s="78">
        <f>P7-13+P11</f>
        <v>53</v>
      </c>
      <c r="Q32" s="70"/>
      <c r="R32" s="70" t="s">
        <v>299</v>
      </c>
      <c r="S32" s="70" t="s">
        <v>299</v>
      </c>
      <c r="T32" s="190">
        <f>SUM(T9:T17,T21:T27)</f>
        <v>11220000</v>
      </c>
      <c r="U32" s="70" t="s">
        <v>299</v>
      </c>
      <c r="V32" s="70" t="s">
        <v>299</v>
      </c>
      <c r="W32" s="68">
        <f>W8+W9+W10+W11+W12+W13+W14+W15+W16+W17+W21+W23+W24+W25+W26+W27</f>
        <v>5886000</v>
      </c>
      <c r="X32" s="68">
        <v>0</v>
      </c>
      <c r="Y32" s="68">
        <f t="shared" ref="Y32:AC32" si="2">Y8+Y9+Y10+Y11+Y12+Y13+Y14+Y15+Y16+Y17+Y21+Y23+Y24+Y25+Y26+Y27</f>
        <v>5141000</v>
      </c>
      <c r="Z32" s="68">
        <v>0</v>
      </c>
      <c r="AA32" s="68">
        <f t="shared" si="2"/>
        <v>193000</v>
      </c>
      <c r="AB32" s="68">
        <v>0</v>
      </c>
      <c r="AC32" s="68">
        <f t="shared" si="2"/>
        <v>11220000</v>
      </c>
    </row>
    <row r="33" spans="2:38" s="65" customFormat="1" x14ac:dyDescent="0.25">
      <c r="B33" s="197" t="s">
        <v>322</v>
      </c>
      <c r="C33" s="198">
        <f>T33</f>
        <v>10800000</v>
      </c>
      <c r="D33" s="199" t="s">
        <v>299</v>
      </c>
      <c r="E33" s="199" t="s">
        <v>299</v>
      </c>
      <c r="F33" s="199" t="s">
        <v>299</v>
      </c>
      <c r="G33" s="199" t="s">
        <v>299</v>
      </c>
      <c r="H33" s="199" t="s">
        <v>299</v>
      </c>
      <c r="I33" s="199" t="s">
        <v>299</v>
      </c>
      <c r="J33" s="199" t="s">
        <v>299</v>
      </c>
      <c r="K33" s="198">
        <f>T33</f>
        <v>10800000</v>
      </c>
      <c r="L33" s="200"/>
      <c r="M33" s="200" t="s">
        <v>322</v>
      </c>
      <c r="N33" s="201" t="s">
        <v>333</v>
      </c>
      <c r="O33" s="202">
        <f>T5+T6+T7+W30</f>
        <v>7932836.1099999994</v>
      </c>
      <c r="P33" s="203">
        <f>P5+P6+P7-27+P30</f>
        <v>36</v>
      </c>
      <c r="Q33" s="200"/>
      <c r="R33" s="200" t="s">
        <v>299</v>
      </c>
      <c r="S33" s="200" t="s">
        <v>299</v>
      </c>
      <c r="T33" s="204">
        <f>SUM(T5:T7,T18:T20,T28:T30)</f>
        <v>10800000</v>
      </c>
      <c r="U33" s="200" t="s">
        <v>299</v>
      </c>
      <c r="V33" s="200" t="s">
        <v>299</v>
      </c>
      <c r="W33" s="205">
        <f>W5+W6+W7+W18+W19+W20+W28+W29+W30</f>
        <v>7514000</v>
      </c>
      <c r="X33" s="205">
        <v>0</v>
      </c>
      <c r="Y33" s="205">
        <f t="shared" ref="Y33:AC33" si="3">Y5+Y6+Y7+Y18+Y19+Y20+Y28+Y29+Y30</f>
        <v>3061000</v>
      </c>
      <c r="Z33" s="205">
        <v>0</v>
      </c>
      <c r="AA33" s="205">
        <f t="shared" si="3"/>
        <v>225000</v>
      </c>
      <c r="AB33" s="205">
        <v>0</v>
      </c>
      <c r="AC33" s="205">
        <f t="shared" si="3"/>
        <v>10800000</v>
      </c>
    </row>
    <row r="36" spans="2:38" s="99" customFormat="1" ht="15" customHeight="1" x14ac:dyDescent="0.25">
      <c r="B36" s="249"/>
      <c r="C36" s="249"/>
      <c r="D36" s="249"/>
      <c r="E36" s="249"/>
      <c r="F36" s="249"/>
      <c r="G36" s="249"/>
      <c r="H36" s="246"/>
      <c r="I36" s="249"/>
      <c r="J36" s="249"/>
      <c r="K36" s="249"/>
      <c r="L36" s="249"/>
      <c r="M36" s="249"/>
      <c r="N36" s="249"/>
      <c r="O36" s="249"/>
      <c r="P36" s="249"/>
      <c r="Q36" s="246"/>
      <c r="R36" s="249"/>
      <c r="S36" s="249"/>
      <c r="T36" s="249"/>
      <c r="U36" s="249"/>
      <c r="V36" s="249"/>
      <c r="W36" s="249"/>
      <c r="X36" s="249"/>
      <c r="Y36" s="249"/>
      <c r="Z36" s="249"/>
      <c r="AA36" s="249"/>
      <c r="AB36" s="249"/>
      <c r="AC36" s="249"/>
      <c r="AD36" s="249"/>
      <c r="AE36" s="249"/>
      <c r="AF36" s="249"/>
      <c r="AG36" s="249"/>
      <c r="AH36" s="249"/>
      <c r="AI36" s="249"/>
      <c r="AJ36" s="246"/>
      <c r="AK36" s="246"/>
      <c r="AL36" s="33"/>
    </row>
    <row r="37" spans="2:38" s="99" customFormat="1" ht="28.5" customHeight="1" x14ac:dyDescent="0.25">
      <c r="B37" s="36"/>
      <c r="C37" s="36"/>
      <c r="D37" s="36"/>
      <c r="E37" s="36"/>
      <c r="F37" s="36"/>
      <c r="G37" s="36"/>
      <c r="H37" s="33"/>
      <c r="I37" s="36"/>
      <c r="J37" s="36"/>
      <c r="K37" s="36"/>
      <c r="L37" s="36"/>
      <c r="M37" s="36"/>
      <c r="N37" s="50" t="s">
        <v>329</v>
      </c>
      <c r="O37" s="50" t="s">
        <v>330</v>
      </c>
      <c r="P37" s="50" t="s">
        <v>326</v>
      </c>
      <c r="Q37" s="33"/>
      <c r="R37" s="50" t="s">
        <v>331</v>
      </c>
      <c r="S37" s="36"/>
      <c r="T37" s="36"/>
      <c r="U37" s="36"/>
      <c r="V37" s="36"/>
      <c r="W37" s="36"/>
      <c r="X37" s="55"/>
      <c r="Y37" s="36"/>
      <c r="Z37" s="55"/>
      <c r="AA37" s="36"/>
      <c r="AB37" s="55"/>
      <c r="AC37" s="36"/>
      <c r="AD37" s="36"/>
      <c r="AE37" s="36"/>
      <c r="AF37" s="36"/>
      <c r="AG37" s="36"/>
      <c r="AH37" s="36"/>
      <c r="AI37" s="36"/>
      <c r="AJ37" s="33"/>
      <c r="AK37" s="33"/>
      <c r="AL37" s="33"/>
    </row>
    <row r="38" spans="2:38" s="99" customFormat="1" ht="45" customHeight="1" x14ac:dyDescent="0.25">
      <c r="B38" s="36"/>
      <c r="C38" s="36"/>
      <c r="D38" s="36"/>
      <c r="E38" s="36"/>
      <c r="F38" s="36"/>
      <c r="G38" s="36"/>
      <c r="H38" s="33"/>
      <c r="I38" s="36"/>
      <c r="J38" s="36"/>
      <c r="K38" s="36"/>
      <c r="L38" s="36"/>
      <c r="N38" s="45" t="s">
        <v>320</v>
      </c>
      <c r="O38" s="58">
        <f>R38/T31</f>
        <v>0.49195441008174384</v>
      </c>
      <c r="P38" s="46">
        <f>P5+P6+P7+P11+P30</f>
        <v>89</v>
      </c>
      <c r="Q38" s="33"/>
      <c r="R38" s="49">
        <f>T5+T6+T7+T8+T11+W30</f>
        <v>10832836.109999999</v>
      </c>
      <c r="S38" s="44"/>
      <c r="T38" s="59"/>
      <c r="U38" s="36"/>
      <c r="V38" s="36"/>
      <c r="W38" s="36"/>
      <c r="X38" s="55"/>
      <c r="Y38" s="36"/>
      <c r="Z38" s="55"/>
      <c r="AA38" s="36"/>
      <c r="AB38" s="55"/>
      <c r="AC38" s="36"/>
      <c r="AD38" s="36"/>
      <c r="AE38" s="36"/>
      <c r="AF38" s="36"/>
      <c r="AG38" s="36"/>
      <c r="AH38" s="36"/>
      <c r="AI38" s="36"/>
      <c r="AJ38" s="33"/>
      <c r="AK38" s="33"/>
      <c r="AL38" s="33"/>
    </row>
    <row r="39" spans="2:38" s="99" customFormat="1" ht="16.5" customHeight="1" x14ac:dyDescent="0.25">
      <c r="B39" s="36"/>
      <c r="C39" s="36"/>
      <c r="D39" s="36"/>
      <c r="E39" s="36"/>
      <c r="F39" s="36"/>
      <c r="G39" s="36"/>
      <c r="H39" s="33"/>
      <c r="I39" s="36"/>
      <c r="J39" s="36"/>
      <c r="K39" s="36"/>
      <c r="L39" s="36"/>
      <c r="N39" s="45" t="s">
        <v>321</v>
      </c>
      <c r="O39" s="58">
        <f>R39/T32</f>
        <v>0.22281639928698752</v>
      </c>
      <c r="P39" s="46">
        <f>P11+40-13</f>
        <v>53</v>
      </c>
      <c r="Q39" s="33"/>
      <c r="R39" s="49">
        <f>R40+R41+R42</f>
        <v>2500000</v>
      </c>
      <c r="S39" s="44"/>
      <c r="T39" s="36"/>
      <c r="U39" s="36"/>
      <c r="V39" s="36"/>
      <c r="W39" s="36"/>
      <c r="X39" s="55"/>
      <c r="Y39" s="36"/>
      <c r="Z39" s="55"/>
      <c r="AA39" s="36"/>
      <c r="AB39" s="55"/>
      <c r="AC39" s="36"/>
      <c r="AD39" s="36"/>
      <c r="AE39" s="36"/>
      <c r="AF39" s="36"/>
      <c r="AG39" s="36"/>
      <c r="AH39" s="36"/>
      <c r="AI39" s="36"/>
      <c r="AJ39" s="33"/>
      <c r="AK39" s="33"/>
      <c r="AL39" s="33"/>
    </row>
    <row r="40" spans="2:38" s="99" customFormat="1" ht="39.75" customHeight="1" x14ac:dyDescent="0.25">
      <c r="B40" s="36"/>
      <c r="C40" s="36"/>
      <c r="D40" s="36"/>
      <c r="E40" s="36"/>
      <c r="F40" s="36"/>
      <c r="G40" s="36"/>
      <c r="H40" s="33"/>
      <c r="I40" s="36"/>
      <c r="J40" s="36"/>
      <c r="K40" s="36"/>
      <c r="L40" s="36"/>
      <c r="N40" s="45"/>
      <c r="O40" s="45" t="s">
        <v>323</v>
      </c>
      <c r="P40" s="47">
        <v>19</v>
      </c>
      <c r="Q40" s="33"/>
      <c r="R40" s="49">
        <f>W8+W11</f>
        <v>800000</v>
      </c>
      <c r="S40" s="36"/>
      <c r="T40" s="36"/>
      <c r="U40" s="36"/>
      <c r="V40" s="36"/>
      <c r="W40" s="36"/>
      <c r="X40" s="55"/>
      <c r="Y40" s="36"/>
      <c r="Z40" s="55"/>
      <c r="AA40" s="36"/>
      <c r="AB40" s="55"/>
      <c r="AC40" s="36"/>
      <c r="AD40" s="36"/>
      <c r="AE40" s="36"/>
      <c r="AF40" s="36"/>
      <c r="AG40" s="36"/>
      <c r="AH40" s="36"/>
      <c r="AI40" s="36"/>
      <c r="AJ40" s="33"/>
      <c r="AK40" s="33"/>
      <c r="AL40" s="33"/>
    </row>
    <row r="41" spans="2:38" s="99" customFormat="1" ht="31.5" customHeight="1" x14ac:dyDescent="0.25">
      <c r="B41" s="36"/>
      <c r="C41" s="36"/>
      <c r="D41" s="36"/>
      <c r="E41" s="36"/>
      <c r="F41" s="36"/>
      <c r="G41" s="36"/>
      <c r="H41" s="37"/>
      <c r="I41" s="36"/>
      <c r="J41" s="36"/>
      <c r="K41" s="36"/>
      <c r="L41" s="36"/>
      <c r="N41" s="45"/>
      <c r="O41" s="45" t="s">
        <v>324</v>
      </c>
      <c r="P41" s="47">
        <f>15+15+2</f>
        <v>32</v>
      </c>
      <c r="Q41" s="37"/>
      <c r="R41" s="49">
        <f>W9+W12</f>
        <v>1200000</v>
      </c>
      <c r="S41" s="36"/>
      <c r="T41" s="36"/>
      <c r="U41" s="36"/>
      <c r="V41" s="36"/>
      <c r="W41" s="36"/>
      <c r="X41" s="55"/>
      <c r="Y41" s="36"/>
      <c r="Z41" s="55"/>
      <c r="AA41" s="36"/>
      <c r="AB41" s="55"/>
      <c r="AC41" s="36"/>
      <c r="AD41" s="36"/>
      <c r="AE41" s="36"/>
      <c r="AF41" s="36"/>
      <c r="AG41" s="36"/>
      <c r="AH41" s="36"/>
      <c r="AI41" s="36"/>
      <c r="AJ41" s="37"/>
      <c r="AK41" s="37"/>
      <c r="AL41" s="33"/>
    </row>
    <row r="42" spans="2:38" ht="18.75" customHeight="1" x14ac:dyDescent="0.25">
      <c r="M42" s="99"/>
      <c r="N42" s="85"/>
      <c r="O42" s="51" t="s">
        <v>325</v>
      </c>
      <c r="P42" s="52">
        <v>2</v>
      </c>
      <c r="Q42" s="69"/>
      <c r="R42" s="53">
        <v>500000</v>
      </c>
    </row>
    <row r="43" spans="2:38" x14ac:dyDescent="0.25">
      <c r="B43" s="103"/>
      <c r="C43" s="103"/>
      <c r="M43" s="99"/>
      <c r="N43" s="85" t="s">
        <v>322</v>
      </c>
      <c r="O43" s="57">
        <f>R43/T33</f>
        <v>0.73452186203703695</v>
      </c>
      <c r="P43" s="48">
        <f>P30+P5+P6+13</f>
        <v>36</v>
      </c>
      <c r="R43" s="104">
        <f>W30+T5+T6+T7</f>
        <v>7932836.1099999994</v>
      </c>
      <c r="S43" s="56"/>
    </row>
    <row r="44" spans="2:38" x14ac:dyDescent="0.25">
      <c r="M44" s="99"/>
      <c r="N44" s="85"/>
      <c r="O44" s="85" t="s">
        <v>327</v>
      </c>
      <c r="P44" s="105">
        <v>9</v>
      </c>
      <c r="R44" s="104">
        <f>W30</f>
        <v>2532836.11</v>
      </c>
    </row>
    <row r="45" spans="2:38" x14ac:dyDescent="0.25">
      <c r="M45" s="99"/>
      <c r="N45" s="85"/>
      <c r="O45" s="85" t="s">
        <v>328</v>
      </c>
      <c r="P45" s="105">
        <f>13+P5+P6</f>
        <v>27</v>
      </c>
      <c r="R45" s="104">
        <f>T5+T6+T7</f>
        <v>5400000</v>
      </c>
    </row>
  </sheetData>
  <autoFilter ref="B4:AL32">
    <filterColumn colId="34" showButton="0"/>
  </autoFilter>
  <mergeCells count="121">
    <mergeCell ref="C5:C12"/>
    <mergeCell ref="C13:C30"/>
    <mergeCell ref="S8:S10"/>
    <mergeCell ref="S3:AI3"/>
    <mergeCell ref="X21:X22"/>
    <mergeCell ref="Z21:Z22"/>
    <mergeCell ref="AA21:AA22"/>
    <mergeCell ref="AB21:AB22"/>
    <mergeCell ref="L27:L29"/>
    <mergeCell ref="M27:M29"/>
    <mergeCell ref="N27:N29"/>
    <mergeCell ref="O27:O29"/>
    <mergeCell ref="P27:P29"/>
    <mergeCell ref="R27:R29"/>
    <mergeCell ref="U25:U26"/>
    <mergeCell ref="V25:V26"/>
    <mergeCell ref="U15:U16"/>
    <mergeCell ref="V15:V16"/>
    <mergeCell ref="S28:S30"/>
    <mergeCell ref="U21:U22"/>
    <mergeCell ref="V21:V22"/>
    <mergeCell ref="W21:W22"/>
    <mergeCell ref="Y21:Y22"/>
    <mergeCell ref="AC21:AC22"/>
    <mergeCell ref="L25:L26"/>
    <mergeCell ref="M25:M26"/>
    <mergeCell ref="N25:N26"/>
    <mergeCell ref="O25:O26"/>
    <mergeCell ref="P25:P26"/>
    <mergeCell ref="R15:R16"/>
    <mergeCell ref="L21:L22"/>
    <mergeCell ref="M21:M22"/>
    <mergeCell ref="N21:N22"/>
    <mergeCell ref="O21:O22"/>
    <mergeCell ref="P21:P22"/>
    <mergeCell ref="Q21:Q22"/>
    <mergeCell ref="R21:R22"/>
    <mergeCell ref="E5:E6"/>
    <mergeCell ref="F5:F6"/>
    <mergeCell ref="G5:G6"/>
    <mergeCell ref="H5:H6"/>
    <mergeCell ref="I7:I8"/>
    <mergeCell ref="L15:L16"/>
    <mergeCell ref="M15:M16"/>
    <mergeCell ref="N15:N16"/>
    <mergeCell ref="O15:O16"/>
    <mergeCell ref="K7:K12"/>
    <mergeCell ref="K13:K20"/>
    <mergeCell ref="I5:I6"/>
    <mergeCell ref="N18:N19"/>
    <mergeCell ref="O18:O19"/>
    <mergeCell ref="P18:P19"/>
    <mergeCell ref="Q18:Q19"/>
    <mergeCell ref="B36:AK36"/>
    <mergeCell ref="Q23:Q24"/>
    <mergeCell ref="R23:R24"/>
    <mergeCell ref="S25:S27"/>
    <mergeCell ref="Q25:Q26"/>
    <mergeCell ref="R25:R26"/>
    <mergeCell ref="I21:I30"/>
    <mergeCell ref="J21:J30"/>
    <mergeCell ref="S21:S24"/>
    <mergeCell ref="L23:L24"/>
    <mergeCell ref="M23:M24"/>
    <mergeCell ref="N23:N24"/>
    <mergeCell ref="O23:O24"/>
    <mergeCell ref="P23:P24"/>
    <mergeCell ref="D21:D30"/>
    <mergeCell ref="E21:E30"/>
    <mergeCell ref="G13:G20"/>
    <mergeCell ref="I13:I20"/>
    <mergeCell ref="H13:H20"/>
    <mergeCell ref="P15:P16"/>
    <mergeCell ref="B13:B30"/>
    <mergeCell ref="Q11:Q12"/>
    <mergeCell ref="R11:R12"/>
    <mergeCell ref="S11:S12"/>
    <mergeCell ref="L11:L12"/>
    <mergeCell ref="M11:M12"/>
    <mergeCell ref="N11:N12"/>
    <mergeCell ref="O11:O12"/>
    <mergeCell ref="P11:P12"/>
    <mergeCell ref="F21:F30"/>
    <mergeCell ref="G21:G30"/>
    <mergeCell ref="D13:D20"/>
    <mergeCell ref="E13:E20"/>
    <mergeCell ref="F13:F20"/>
    <mergeCell ref="J13:J20"/>
    <mergeCell ref="S13:S14"/>
    <mergeCell ref="Q15:Q17"/>
    <mergeCell ref="S15:S17"/>
    <mergeCell ref="S18:S20"/>
    <mergeCell ref="R18:R19"/>
    <mergeCell ref="H21:H30"/>
    <mergeCell ref="K21:K30"/>
    <mergeCell ref="L18:L19"/>
    <mergeCell ref="M18:M19"/>
    <mergeCell ref="AJ4:AK4"/>
    <mergeCell ref="B5:B12"/>
    <mergeCell ref="K5:K6"/>
    <mergeCell ref="Q7:Q8"/>
    <mergeCell ref="R7:R8"/>
    <mergeCell ref="L7:L8"/>
    <mergeCell ref="M7:M8"/>
    <mergeCell ref="N7:N8"/>
    <mergeCell ref="O7:O8"/>
    <mergeCell ref="P7:P8"/>
    <mergeCell ref="J7:J12"/>
    <mergeCell ref="J5:J6"/>
    <mergeCell ref="D9:D12"/>
    <mergeCell ref="E9:E12"/>
    <mergeCell ref="F9:F12"/>
    <mergeCell ref="G9:G12"/>
    <mergeCell ref="H9:H12"/>
    <mergeCell ref="I9:I12"/>
    <mergeCell ref="D7:D8"/>
    <mergeCell ref="E7:E8"/>
    <mergeCell ref="F7:F8"/>
    <mergeCell ref="G7:G8"/>
    <mergeCell ref="H7:H8"/>
    <mergeCell ref="D5:D6"/>
  </mergeCells>
  <pageMargins left="0.25" right="0.25" top="0.75" bottom="0.75" header="0.3" footer="0.3"/>
  <pageSetup paperSize="8" scale="42" fitToHeight="0" orientation="landscape" r:id="rId1"/>
  <rowBreaks count="2" manualBreakCount="2">
    <brk id="12" max="37" man="1"/>
    <brk id="20" max="37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O21"/>
  <sheetViews>
    <sheetView workbookViewId="0">
      <selection activeCell="G21" sqref="G21"/>
    </sheetView>
  </sheetViews>
  <sheetFormatPr defaultRowHeight="15" x14ac:dyDescent="0.25"/>
  <cols>
    <col min="1" max="1" width="8.28515625" customWidth="1"/>
    <col min="2" max="2" width="3.7109375" hidden="1" customWidth="1"/>
    <col min="3" max="3" width="26.42578125" customWidth="1"/>
    <col min="4" max="4" width="0.140625" customWidth="1"/>
    <col min="5" max="5" width="3.28515625" hidden="1" customWidth="1"/>
    <col min="6" max="6" width="38.85546875" style="182" customWidth="1"/>
    <col min="7" max="7" width="25.42578125" style="107" customWidth="1"/>
    <col min="9" max="9" width="14.42578125" bestFit="1" customWidth="1"/>
    <col min="10" max="10" width="20" style="108" customWidth="1"/>
    <col min="11" max="11" width="11" bestFit="1" customWidth="1"/>
    <col min="13" max="13" width="14.42578125" bestFit="1" customWidth="1"/>
    <col min="14" max="14" width="15.85546875" style="121" bestFit="1" customWidth="1"/>
    <col min="15" max="15" width="14.42578125" customWidth="1"/>
  </cols>
  <sheetData>
    <row r="4" spans="3:15" ht="28.5" x14ac:dyDescent="0.25">
      <c r="C4" s="331" t="s">
        <v>11</v>
      </c>
      <c r="D4" s="331"/>
      <c r="E4" s="331" t="s">
        <v>13</v>
      </c>
      <c r="F4" s="331"/>
      <c r="G4" s="106" t="s">
        <v>335</v>
      </c>
      <c r="I4" s="107">
        <f>I6+I15</f>
        <v>22020000</v>
      </c>
      <c r="M4" s="109"/>
      <c r="N4" s="110"/>
      <c r="O4" s="109"/>
    </row>
    <row r="5" spans="3:15" x14ac:dyDescent="0.25">
      <c r="C5" s="332" t="s">
        <v>336</v>
      </c>
      <c r="D5" s="332"/>
      <c r="E5" s="332"/>
      <c r="F5" s="332"/>
      <c r="G5" s="111">
        <f>C9+C11</f>
        <v>11900000</v>
      </c>
      <c r="J5" s="108">
        <f>G5/4</f>
        <v>2975000</v>
      </c>
      <c r="M5" s="109"/>
      <c r="N5" s="112"/>
      <c r="O5" s="109"/>
    </row>
    <row r="6" spans="3:15" x14ac:dyDescent="0.25">
      <c r="C6" s="332"/>
      <c r="D6" s="332"/>
      <c r="E6" s="332"/>
      <c r="F6" s="332"/>
      <c r="G6" s="113">
        <f>G11+G12</f>
        <v>6500000</v>
      </c>
      <c r="H6" t="s">
        <v>337</v>
      </c>
      <c r="I6" s="107">
        <f>G6+G7</f>
        <v>11900000</v>
      </c>
      <c r="J6" s="108">
        <f t="shared" ref="J6:J21" si="0">G6/4</f>
        <v>1625000</v>
      </c>
      <c r="M6" s="109"/>
      <c r="N6" s="112"/>
      <c r="O6" s="109"/>
    </row>
    <row r="7" spans="3:15" x14ac:dyDescent="0.25">
      <c r="C7" s="332"/>
      <c r="D7" s="332"/>
      <c r="E7" s="332"/>
      <c r="F7" s="332"/>
      <c r="G7" s="113">
        <f>G8+G9+G10</f>
        <v>5400000</v>
      </c>
      <c r="H7" t="s">
        <v>338</v>
      </c>
      <c r="J7" s="108">
        <f t="shared" si="0"/>
        <v>1350000</v>
      </c>
      <c r="M7" s="109"/>
      <c r="N7" s="112"/>
      <c r="O7" s="109"/>
    </row>
    <row r="8" spans="3:15" ht="69" customHeight="1" x14ac:dyDescent="0.25">
      <c r="C8" s="332" t="s">
        <v>339</v>
      </c>
      <c r="D8" s="332"/>
      <c r="E8" s="332"/>
      <c r="F8" s="114" t="s">
        <v>340</v>
      </c>
      <c r="G8" s="115">
        <f>'Tab 29 po zmianach'!T5</f>
        <v>1600000</v>
      </c>
      <c r="J8" s="108">
        <f t="shared" si="0"/>
        <v>400000</v>
      </c>
      <c r="K8" s="108">
        <f>J8+J9</f>
        <v>625000</v>
      </c>
      <c r="M8" s="109"/>
      <c r="N8" s="112"/>
      <c r="O8" s="109"/>
    </row>
    <row r="9" spans="3:15" ht="30" x14ac:dyDescent="0.25">
      <c r="C9" s="116">
        <f>G8+G9</f>
        <v>2500000</v>
      </c>
      <c r="D9" s="117"/>
      <c r="E9" s="118"/>
      <c r="F9" s="114" t="s">
        <v>341</v>
      </c>
      <c r="G9" s="115">
        <f>'Tab 29 po zmianach'!T6</f>
        <v>900000</v>
      </c>
      <c r="J9" s="108">
        <f t="shared" si="0"/>
        <v>225000</v>
      </c>
      <c r="M9" s="109"/>
      <c r="N9" s="112"/>
      <c r="O9" s="109"/>
    </row>
    <row r="10" spans="3:15" ht="30" x14ac:dyDescent="0.25">
      <c r="C10" s="332" t="s">
        <v>342</v>
      </c>
      <c r="D10" s="332"/>
      <c r="E10" s="332"/>
      <c r="F10" s="114" t="s">
        <v>343</v>
      </c>
      <c r="G10" s="115">
        <f>'Tab 29 po zmianach'!T7</f>
        <v>2900000</v>
      </c>
      <c r="J10" s="108">
        <f t="shared" si="0"/>
        <v>725000</v>
      </c>
      <c r="M10" s="109"/>
      <c r="N10" s="112"/>
      <c r="O10" s="109"/>
    </row>
    <row r="11" spans="3:15" ht="45" x14ac:dyDescent="0.25">
      <c r="C11" s="329">
        <f>G10+G11+G12</f>
        <v>9400000</v>
      </c>
      <c r="D11" s="119"/>
      <c r="E11" s="120"/>
      <c r="F11" s="183" t="s">
        <v>375</v>
      </c>
      <c r="G11" s="184">
        <f>SUM('Tab 29 po zmianach'!T8:T10)</f>
        <v>3600000</v>
      </c>
      <c r="J11" s="108">
        <f t="shared" si="0"/>
        <v>900000</v>
      </c>
    </row>
    <row r="12" spans="3:15" ht="30" x14ac:dyDescent="0.25">
      <c r="C12" s="330"/>
      <c r="D12" s="122"/>
      <c r="E12" s="123"/>
      <c r="F12" s="183" t="s">
        <v>344</v>
      </c>
      <c r="G12" s="184">
        <f>SUM('Tab 29 po zmianach'!T11:T12)</f>
        <v>2900000</v>
      </c>
      <c r="J12" s="108">
        <f t="shared" si="0"/>
        <v>725000</v>
      </c>
    </row>
    <row r="13" spans="3:15" x14ac:dyDescent="0.25">
      <c r="C13" s="332" t="s">
        <v>345</v>
      </c>
      <c r="D13" s="332"/>
      <c r="E13" s="332"/>
      <c r="F13" s="332"/>
      <c r="G13" s="111">
        <f>C17+C20</f>
        <v>10120000</v>
      </c>
      <c r="J13" s="108">
        <f t="shared" si="0"/>
        <v>2530000</v>
      </c>
    </row>
    <row r="14" spans="3:15" x14ac:dyDescent="0.25">
      <c r="C14" s="332"/>
      <c r="D14" s="332"/>
      <c r="E14" s="332"/>
      <c r="F14" s="332"/>
      <c r="G14" s="113">
        <f>G16+G17+G19+G20</f>
        <v>4720000</v>
      </c>
      <c r="H14" t="s">
        <v>337</v>
      </c>
      <c r="J14" s="108">
        <f t="shared" si="0"/>
        <v>1180000</v>
      </c>
      <c r="M14" t="s">
        <v>346</v>
      </c>
      <c r="N14" s="121" t="s">
        <v>347</v>
      </c>
      <c r="O14" t="s">
        <v>348</v>
      </c>
    </row>
    <row r="15" spans="3:15" x14ac:dyDescent="0.25">
      <c r="C15" s="332"/>
      <c r="D15" s="332"/>
      <c r="E15" s="332"/>
      <c r="F15" s="332"/>
      <c r="G15" s="113">
        <f>G18+G21</f>
        <v>5400000</v>
      </c>
      <c r="H15" t="s">
        <v>338</v>
      </c>
      <c r="I15" s="107">
        <f>G14+G15</f>
        <v>10120000</v>
      </c>
      <c r="J15" s="108">
        <f t="shared" si="0"/>
        <v>1350000</v>
      </c>
      <c r="L15" t="s">
        <v>337</v>
      </c>
      <c r="M15" s="107">
        <f>G6+G14</f>
        <v>11220000</v>
      </c>
      <c r="N15" s="121">
        <f>11000000+220000</f>
        <v>11220000</v>
      </c>
      <c r="O15" s="107">
        <f>M15-N15</f>
        <v>0</v>
      </c>
    </row>
    <row r="16" spans="3:15" ht="45" x14ac:dyDescent="0.25">
      <c r="C16" s="124" t="s">
        <v>349</v>
      </c>
      <c r="D16" s="337" t="s">
        <v>350</v>
      </c>
      <c r="E16" s="337"/>
      <c r="F16" s="337"/>
      <c r="G16" s="184">
        <f>SUM('Tab 29 po zmianach'!T13:T14)</f>
        <v>320000</v>
      </c>
      <c r="J16" s="108">
        <f t="shared" si="0"/>
        <v>80000</v>
      </c>
      <c r="L16" t="s">
        <v>338</v>
      </c>
      <c r="M16" s="107">
        <f>G7+G15</f>
        <v>10800000</v>
      </c>
      <c r="N16" s="121">
        <f>10584000+216000</f>
        <v>10800000</v>
      </c>
      <c r="O16" s="107">
        <f>M16-N16</f>
        <v>0</v>
      </c>
    </row>
    <row r="17" spans="3:15" ht="51.75" customHeight="1" x14ac:dyDescent="0.25">
      <c r="C17" s="333">
        <f>G16+G17+G18</f>
        <v>3370436.18</v>
      </c>
      <c r="D17" s="337" t="s">
        <v>351</v>
      </c>
      <c r="E17" s="337"/>
      <c r="F17" s="337"/>
      <c r="G17" s="184">
        <f>SUM('Tab 29 po zmianach'!T15:T17)</f>
        <v>2264436.1800000002</v>
      </c>
      <c r="J17" s="108">
        <f t="shared" si="0"/>
        <v>566109.04500000004</v>
      </c>
      <c r="L17" t="s">
        <v>320</v>
      </c>
      <c r="M17" s="107">
        <f>M15+M16</f>
        <v>22020000</v>
      </c>
      <c r="N17" s="121">
        <f>N15+N16</f>
        <v>22020000</v>
      </c>
      <c r="O17" s="107">
        <f>O15+O16</f>
        <v>0</v>
      </c>
    </row>
    <row r="18" spans="3:15" ht="57" customHeight="1" x14ac:dyDescent="0.25">
      <c r="C18" s="334"/>
      <c r="D18" s="336" t="s">
        <v>352</v>
      </c>
      <c r="E18" s="336"/>
      <c r="F18" s="336"/>
      <c r="G18" s="125">
        <f>SUM('Tab 29 po zmianach'!T18:T20)</f>
        <v>786000</v>
      </c>
      <c r="J18" s="108">
        <f t="shared" si="0"/>
        <v>196500</v>
      </c>
    </row>
    <row r="19" spans="3:15" ht="30" x14ac:dyDescent="0.25">
      <c r="C19" s="124" t="s">
        <v>353</v>
      </c>
      <c r="D19" s="337" t="s">
        <v>354</v>
      </c>
      <c r="E19" s="337"/>
      <c r="F19" s="337"/>
      <c r="G19" s="184">
        <f>SUM('Tab 29 po zmianach'!T21:T24)</f>
        <v>478000</v>
      </c>
      <c r="J19" s="108">
        <f t="shared" si="0"/>
        <v>119500</v>
      </c>
    </row>
    <row r="20" spans="3:15" ht="39.75" customHeight="1" x14ac:dyDescent="0.25">
      <c r="C20" s="333">
        <f>G19+G20+G21</f>
        <v>6749563.8200000003</v>
      </c>
      <c r="D20" s="335" t="s">
        <v>355</v>
      </c>
      <c r="E20" s="335"/>
      <c r="F20" s="335"/>
      <c r="G20" s="184">
        <f>SUM('Tab 29 po zmianach'!T25:T27)</f>
        <v>1657563.82</v>
      </c>
      <c r="J20" s="108">
        <f t="shared" si="0"/>
        <v>414390.95500000002</v>
      </c>
    </row>
    <row r="21" spans="3:15" ht="46.5" customHeight="1" x14ac:dyDescent="0.25">
      <c r="C21" s="334"/>
      <c r="D21" s="336" t="s">
        <v>356</v>
      </c>
      <c r="E21" s="336"/>
      <c r="F21" s="336"/>
      <c r="G21" s="125">
        <f>SUM('Tab 29 po zmianach'!T28:T30)</f>
        <v>4614000</v>
      </c>
      <c r="J21" s="108">
        <f t="shared" si="0"/>
        <v>1153500</v>
      </c>
    </row>
  </sheetData>
  <mergeCells count="15">
    <mergeCell ref="C20:C21"/>
    <mergeCell ref="D20:F20"/>
    <mergeCell ref="D21:F21"/>
    <mergeCell ref="C13:F15"/>
    <mergeCell ref="D16:F16"/>
    <mergeCell ref="C17:C18"/>
    <mergeCell ref="D17:F17"/>
    <mergeCell ref="D18:F18"/>
    <mergeCell ref="D19:F19"/>
    <mergeCell ref="C11:C12"/>
    <mergeCell ref="C4:D4"/>
    <mergeCell ref="E4:F4"/>
    <mergeCell ref="C5:F7"/>
    <mergeCell ref="C8:E8"/>
    <mergeCell ref="C10:E10"/>
  </mergeCells>
  <pageMargins left="0.7" right="0.7" top="0.75" bottom="0.75" header="0.3" footer="0.3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3:O39"/>
  <sheetViews>
    <sheetView topLeftCell="A31" workbookViewId="0">
      <selection activeCell="B35" sqref="B35:L39"/>
    </sheetView>
  </sheetViews>
  <sheetFormatPr defaultRowHeight="15" x14ac:dyDescent="0.25"/>
  <cols>
    <col min="5" max="5" width="13.5703125" bestFit="1" customWidth="1"/>
    <col min="6" max="6" width="18.7109375" style="126" customWidth="1"/>
    <col min="8" max="8" width="13.5703125" bestFit="1" customWidth="1"/>
    <col min="9" max="9" width="14.42578125" customWidth="1"/>
    <col min="10" max="10" width="16.28515625" bestFit="1" customWidth="1"/>
    <col min="11" max="11" width="12.28515625" customWidth="1"/>
    <col min="12" max="12" width="15.85546875" bestFit="1" customWidth="1"/>
    <col min="14" max="14" width="13.42578125" bestFit="1" customWidth="1"/>
  </cols>
  <sheetData>
    <row r="3" spans="2:13" ht="15.75" thickBot="1" x14ac:dyDescent="0.3"/>
    <row r="4" spans="2:13" ht="15.75" thickBot="1" x14ac:dyDescent="0.3">
      <c r="B4" s="127" t="s">
        <v>357</v>
      </c>
      <c r="C4" s="128" t="s">
        <v>358</v>
      </c>
      <c r="D4" s="129" t="s">
        <v>179</v>
      </c>
      <c r="E4" s="128" t="s">
        <v>359</v>
      </c>
      <c r="F4" s="129" t="s">
        <v>358</v>
      </c>
      <c r="G4" s="129" t="s">
        <v>179</v>
      </c>
      <c r="H4" s="128" t="s">
        <v>359</v>
      </c>
      <c r="I4" s="128" t="s">
        <v>360</v>
      </c>
      <c r="J4" s="128" t="s">
        <v>361</v>
      </c>
      <c r="K4" s="128" t="s">
        <v>56</v>
      </c>
      <c r="M4" s="130" t="s">
        <v>362</v>
      </c>
    </row>
    <row r="5" spans="2:13" ht="30.75" thickBot="1" x14ac:dyDescent="0.3">
      <c r="B5" s="131" t="s">
        <v>363</v>
      </c>
      <c r="C5" s="132" t="s">
        <v>364</v>
      </c>
      <c r="D5" s="133">
        <v>23</v>
      </c>
      <c r="E5" s="134">
        <v>2900000</v>
      </c>
      <c r="F5" s="133" t="s">
        <v>365</v>
      </c>
      <c r="G5" s="133">
        <v>30</v>
      </c>
      <c r="H5" s="135">
        <v>3600000</v>
      </c>
      <c r="I5" s="136">
        <v>52</v>
      </c>
      <c r="J5" s="137">
        <v>6380000</v>
      </c>
      <c r="K5" s="138">
        <v>0.56999999999999995</v>
      </c>
    </row>
    <row r="6" spans="2:13" ht="45.75" thickBot="1" x14ac:dyDescent="0.3">
      <c r="B6" s="340" t="s">
        <v>338</v>
      </c>
      <c r="C6" s="340" t="s">
        <v>366</v>
      </c>
      <c r="D6" s="342">
        <v>17</v>
      </c>
      <c r="E6" s="350">
        <v>3400000</v>
      </c>
      <c r="F6" s="139" t="s">
        <v>367</v>
      </c>
      <c r="G6" s="139">
        <v>18</v>
      </c>
      <c r="H6" s="140">
        <v>2500000</v>
      </c>
      <c r="I6" s="346">
        <v>44</v>
      </c>
      <c r="J6" s="348">
        <v>8570000</v>
      </c>
      <c r="K6" s="338">
        <v>0.71</v>
      </c>
    </row>
    <row r="7" spans="2:13" ht="45.75" thickBot="1" x14ac:dyDescent="0.3">
      <c r="B7" s="341"/>
      <c r="C7" s="341"/>
      <c r="D7" s="343"/>
      <c r="E7" s="351"/>
      <c r="F7" s="139" t="s">
        <v>368</v>
      </c>
      <c r="G7" s="139">
        <v>9</v>
      </c>
      <c r="H7" s="140">
        <v>2670000</v>
      </c>
      <c r="I7" s="347"/>
      <c r="J7" s="349"/>
      <c r="K7" s="339"/>
    </row>
    <row r="8" spans="2:13" ht="29.25" thickBot="1" x14ac:dyDescent="0.3">
      <c r="B8" s="141" t="s">
        <v>369</v>
      </c>
      <c r="C8" s="142"/>
      <c r="D8" s="143">
        <v>40</v>
      </c>
      <c r="E8" s="142"/>
      <c r="F8" s="143"/>
      <c r="G8" s="143">
        <v>56</v>
      </c>
      <c r="H8" s="142"/>
      <c r="I8" s="144">
        <v>96</v>
      </c>
      <c r="J8" s="142"/>
      <c r="K8" s="145">
        <v>0.65</v>
      </c>
    </row>
    <row r="11" spans="2:13" ht="15.75" thickBot="1" x14ac:dyDescent="0.3"/>
    <row r="12" spans="2:13" ht="15.75" thickBot="1" x14ac:dyDescent="0.3">
      <c r="B12" s="127" t="s">
        <v>357</v>
      </c>
      <c r="C12" s="128" t="s">
        <v>358</v>
      </c>
      <c r="D12" s="129" t="s">
        <v>179</v>
      </c>
      <c r="E12" s="128" t="s">
        <v>359</v>
      </c>
      <c r="F12" s="129" t="s">
        <v>358</v>
      </c>
      <c r="G12" s="129" t="s">
        <v>179</v>
      </c>
      <c r="H12" s="128" t="s">
        <v>359</v>
      </c>
      <c r="I12" s="128" t="s">
        <v>360</v>
      </c>
      <c r="J12" s="128" t="s">
        <v>361</v>
      </c>
      <c r="K12" s="128" t="s">
        <v>56</v>
      </c>
      <c r="M12" s="130" t="s">
        <v>370</v>
      </c>
    </row>
    <row r="13" spans="2:13" ht="30.75" thickBot="1" x14ac:dyDescent="0.3">
      <c r="B13" s="131" t="s">
        <v>363</v>
      </c>
      <c r="C13" s="132" t="s">
        <v>364</v>
      </c>
      <c r="D13" s="133">
        <f>'[1]tab. 32 plan finasowy VII 2017'!M21+'[1]tab. 32 plan finasowy VII 2017'!M17</f>
        <v>21</v>
      </c>
      <c r="E13" s="146">
        <f>'[1]tab. 32 plan finasowy VII 2017'!N21+'[1]tab. 32 plan finasowy VII 2017'!N17</f>
        <v>2900000</v>
      </c>
      <c r="F13" s="133" t="s">
        <v>365</v>
      </c>
      <c r="G13" s="133">
        <f>'[1]tab. 32 plan finasowy VII 2017'!M22+'[1]tab. 32 plan finasowy VII 2017'!M18</f>
        <v>12</v>
      </c>
      <c r="H13" s="146">
        <f>'[1]tab. 32 plan finasowy VII 2017'!N22+'[1]tab. 32 plan finasowy VII 2017'!N18</f>
        <v>3600000</v>
      </c>
      <c r="I13" s="136">
        <f>D13+G13</f>
        <v>33</v>
      </c>
      <c r="J13" s="137">
        <f>E13+H13</f>
        <v>6500000</v>
      </c>
      <c r="K13" s="138">
        <f>(J13*100%)/L13</f>
        <v>0.59090909090909094</v>
      </c>
      <c r="L13">
        <f>'[1]tab. 32 plan finasowy VII 2017'!P65- 220000</f>
        <v>11000000</v>
      </c>
    </row>
    <row r="14" spans="2:13" ht="45.75" thickBot="1" x14ac:dyDescent="0.3">
      <c r="B14" s="340" t="s">
        <v>338</v>
      </c>
      <c r="C14" s="340" t="s">
        <v>366</v>
      </c>
      <c r="D14" s="342">
        <f>'[1]tab. 32 plan finasowy VII 2017'!M4+'[1]tab. 32 plan finasowy VII 2017'!M13</f>
        <v>10.666666666666666</v>
      </c>
      <c r="E14" s="344">
        <f>'[1]tab. 32 plan finasowy VII 2017'!N4+'[1]tab. 32 plan finasowy VII 2017'!N13</f>
        <v>3200000</v>
      </c>
      <c r="F14" s="139" t="s">
        <v>367</v>
      </c>
      <c r="G14" s="139">
        <f>'[1]tab. 32 plan finasowy VII 2017'!M8+'[1]tab. 32 plan finasowy VII 2017'!M14</f>
        <v>7</v>
      </c>
      <c r="H14" s="147">
        <f>'[1]tab. 32 plan finasowy VII 2017'!N8+'[1]tab. 32 plan finasowy VII 2017'!N14</f>
        <v>2200000</v>
      </c>
      <c r="I14" s="346">
        <f>G14+G15+D14</f>
        <v>26.1094537</v>
      </c>
      <c r="J14" s="348">
        <v>8570000</v>
      </c>
      <c r="K14" s="338">
        <f>(J14*100%)/L14</f>
        <v>0.79351851851851851</v>
      </c>
      <c r="L14">
        <v>10800000</v>
      </c>
    </row>
    <row r="15" spans="2:13" ht="45.75" thickBot="1" x14ac:dyDescent="0.3">
      <c r="B15" s="341"/>
      <c r="C15" s="341"/>
      <c r="D15" s="343"/>
      <c r="E15" s="345"/>
      <c r="F15" s="139" t="s">
        <v>368</v>
      </c>
      <c r="G15" s="139">
        <f>'[1]tab. 32 plan finasowy VII 2017'!M42+'[1]tab. 32 plan finasowy VII 2017'!M56</f>
        <v>8.4427870333333335</v>
      </c>
      <c r="H15" s="147">
        <f>'[1]tab. 32 plan finasowy VII 2017'!N42+'[1]tab. 32 plan finasowy VII 2017'!N56</f>
        <v>2532836.11</v>
      </c>
      <c r="I15" s="347"/>
      <c r="J15" s="349"/>
      <c r="K15" s="339"/>
    </row>
    <row r="16" spans="2:13" ht="29.25" thickBot="1" x14ac:dyDescent="0.3">
      <c r="B16" s="141" t="s">
        <v>369</v>
      </c>
      <c r="C16" s="142"/>
      <c r="D16" s="143">
        <f>D13+D14</f>
        <v>31.666666666666664</v>
      </c>
      <c r="E16" s="142"/>
      <c r="F16" s="143"/>
      <c r="G16" s="143">
        <f>G13+G14+G15</f>
        <v>27.442787033333332</v>
      </c>
      <c r="H16" s="142"/>
      <c r="I16" s="144">
        <f>D16+G16</f>
        <v>59.109453699999996</v>
      </c>
      <c r="J16" s="142"/>
      <c r="K16" s="145">
        <f>(K13+K14)/2</f>
        <v>0.69221380471380467</v>
      </c>
    </row>
    <row r="18" spans="2:15" ht="15.75" thickBot="1" x14ac:dyDescent="0.3"/>
    <row r="19" spans="2:15" ht="15.75" thickBot="1" x14ac:dyDescent="0.3">
      <c r="B19" s="127" t="s">
        <v>357</v>
      </c>
      <c r="C19" s="128" t="s">
        <v>358</v>
      </c>
      <c r="D19" s="129" t="s">
        <v>179</v>
      </c>
      <c r="E19" s="128" t="s">
        <v>359</v>
      </c>
      <c r="F19" s="129" t="s">
        <v>358</v>
      </c>
      <c r="G19" s="129" t="s">
        <v>179</v>
      </c>
      <c r="H19" s="128" t="s">
        <v>359</v>
      </c>
      <c r="I19" s="128" t="s">
        <v>360</v>
      </c>
      <c r="J19" s="128" t="s">
        <v>361</v>
      </c>
      <c r="K19" s="128" t="s">
        <v>56</v>
      </c>
      <c r="L19" s="148" t="s">
        <v>371</v>
      </c>
    </row>
    <row r="20" spans="2:15" ht="30.75" thickBot="1" x14ac:dyDescent="0.3">
      <c r="B20" s="149" t="s">
        <v>363</v>
      </c>
      <c r="C20" s="150" t="s">
        <v>364</v>
      </c>
      <c r="D20" s="151">
        <f>'[1]Budżet02.2017  '!I25</f>
        <v>23</v>
      </c>
      <c r="E20" s="152">
        <f>'[1]Budżet02.2017  '!K25</f>
        <v>2900000</v>
      </c>
      <c r="F20" s="153" t="s">
        <v>365</v>
      </c>
      <c r="G20" s="151">
        <f>'[1]Budżet02.2017  '!M25</f>
        <v>30</v>
      </c>
      <c r="H20" s="152">
        <f>'[1]Budżet02.2017  '!O25</f>
        <v>3600000</v>
      </c>
      <c r="I20" s="154">
        <f>D20+G20</f>
        <v>53</v>
      </c>
      <c r="J20" s="155">
        <f>E20+H20</f>
        <v>6500000</v>
      </c>
      <c r="K20" s="138">
        <f>(J20*100%)/L20</f>
        <v>0.59090909090909094</v>
      </c>
      <c r="L20">
        <f>L13</f>
        <v>11000000</v>
      </c>
      <c r="N20">
        <f>26+40+6+8</f>
        <v>80</v>
      </c>
    </row>
    <row r="21" spans="2:15" ht="45.75" thickBot="1" x14ac:dyDescent="0.3">
      <c r="B21" s="156" t="s">
        <v>338</v>
      </c>
      <c r="C21" s="156" t="s">
        <v>366</v>
      </c>
      <c r="D21" s="157">
        <f>'[1]Budżet02.2017  '!W27</f>
        <v>21</v>
      </c>
      <c r="E21" s="158">
        <f>'[1]Budżet02.2017  '!Y27</f>
        <v>3800000</v>
      </c>
      <c r="F21" s="159" t="s">
        <v>367</v>
      </c>
      <c r="G21" s="160">
        <f>'[1]Budżet02.2017  '!AA27</f>
        <v>6</v>
      </c>
      <c r="H21" s="161">
        <f>'[1]Budżet02.2017  '!AC27</f>
        <v>1500000</v>
      </c>
      <c r="I21" s="162">
        <f>G21+G22+D21</f>
        <v>36</v>
      </c>
      <c r="J21" s="163">
        <f>E21+H21+H22</f>
        <v>7584000</v>
      </c>
      <c r="K21" s="164">
        <f>(J21*100%)/$L$21</f>
        <v>0.70222222222222219</v>
      </c>
      <c r="L21">
        <f>L14</f>
        <v>10800000</v>
      </c>
    </row>
    <row r="22" spans="2:15" ht="45.75" thickBot="1" x14ac:dyDescent="0.3">
      <c r="B22" s="165"/>
      <c r="C22" s="165"/>
      <c r="D22" s="166"/>
      <c r="E22" s="167"/>
      <c r="F22" s="159" t="s">
        <v>372</v>
      </c>
      <c r="G22" s="160">
        <f>'[1]Budżet02.2017  '!A38</f>
        <v>9</v>
      </c>
      <c r="H22" s="161">
        <f>'[1]Budżet02.2017  '!D64</f>
        <v>2284000</v>
      </c>
      <c r="I22" s="168"/>
      <c r="J22" s="169"/>
      <c r="K22" s="164"/>
    </row>
    <row r="23" spans="2:15" ht="29.25" thickBot="1" x14ac:dyDescent="0.3">
      <c r="B23" s="141" t="s">
        <v>369</v>
      </c>
      <c r="C23" s="142"/>
      <c r="D23" s="170">
        <f>D20+D21</f>
        <v>44</v>
      </c>
      <c r="E23" s="142"/>
      <c r="F23" s="143"/>
      <c r="G23" s="170">
        <f>G20+G21+G22</f>
        <v>45</v>
      </c>
      <c r="H23" s="142"/>
      <c r="I23" s="171">
        <f>D23+G23</f>
        <v>89</v>
      </c>
      <c r="J23" s="172">
        <f>J20+J21</f>
        <v>14084000</v>
      </c>
      <c r="K23" s="173">
        <f>J23/L23</f>
        <v>0.6460550458715596</v>
      </c>
      <c r="L23">
        <f>L20+L21</f>
        <v>21800000</v>
      </c>
    </row>
    <row r="26" spans="2:15" ht="15.75" thickBot="1" x14ac:dyDescent="0.3"/>
    <row r="27" spans="2:15" ht="15.75" thickBot="1" x14ac:dyDescent="0.3">
      <c r="B27" s="127" t="s">
        <v>357</v>
      </c>
      <c r="C27" s="128" t="s">
        <v>358</v>
      </c>
      <c r="D27" s="129" t="s">
        <v>179</v>
      </c>
      <c r="E27" s="128" t="s">
        <v>359</v>
      </c>
      <c r="F27" s="129" t="s">
        <v>358</v>
      </c>
      <c r="G27" s="129" t="s">
        <v>179</v>
      </c>
      <c r="H27" s="128" t="s">
        <v>359</v>
      </c>
      <c r="I27" s="128" t="s">
        <v>360</v>
      </c>
      <c r="J27" s="128" t="s">
        <v>361</v>
      </c>
      <c r="K27" s="128" t="s">
        <v>56</v>
      </c>
      <c r="L27" s="148" t="s">
        <v>373</v>
      </c>
    </row>
    <row r="28" spans="2:15" ht="30.75" thickBot="1" x14ac:dyDescent="0.3">
      <c r="B28" s="149" t="s">
        <v>363</v>
      </c>
      <c r="C28" s="150" t="s">
        <v>364</v>
      </c>
      <c r="D28" s="151">
        <v>23</v>
      </c>
      <c r="E28" s="152">
        <v>2900000</v>
      </c>
      <c r="F28" s="153" t="s">
        <v>365</v>
      </c>
      <c r="G28" s="151">
        <v>30</v>
      </c>
      <c r="H28" s="152">
        <v>3600000</v>
      </c>
      <c r="I28" s="154">
        <v>53</v>
      </c>
      <c r="J28" s="155">
        <f>E28+H28</f>
        <v>6500000</v>
      </c>
      <c r="K28" s="174">
        <f>J28/L28</f>
        <v>0.59090909090909094</v>
      </c>
      <c r="L28">
        <v>11000000</v>
      </c>
    </row>
    <row r="29" spans="2:15" ht="45.75" thickBot="1" x14ac:dyDescent="0.3">
      <c r="B29" s="156" t="s">
        <v>322</v>
      </c>
      <c r="C29" s="156" t="s">
        <v>366</v>
      </c>
      <c r="D29" s="157">
        <v>21</v>
      </c>
      <c r="E29" s="158">
        <v>3800000</v>
      </c>
      <c r="F29" s="159" t="s">
        <v>367</v>
      </c>
      <c r="G29" s="160">
        <v>6</v>
      </c>
      <c r="H29" s="161">
        <v>1600000</v>
      </c>
      <c r="I29" s="162">
        <v>36</v>
      </c>
      <c r="J29" s="175">
        <f>E29+H29+H30</f>
        <v>7932836.1099999994</v>
      </c>
      <c r="K29" s="176">
        <f>J29/L29</f>
        <v>0.73452186203703695</v>
      </c>
      <c r="L29">
        <v>10800000</v>
      </c>
      <c r="M29" s="177">
        <f>(E29+H29)/L29</f>
        <v>0.5</v>
      </c>
      <c r="N29" s="178">
        <f>E29+H29</f>
        <v>5400000</v>
      </c>
    </row>
    <row r="30" spans="2:15" ht="45.75" thickBot="1" x14ac:dyDescent="0.3">
      <c r="B30" s="165"/>
      <c r="C30" s="165"/>
      <c r="D30" s="166"/>
      <c r="E30" s="167"/>
      <c r="F30" s="159" t="s">
        <v>372</v>
      </c>
      <c r="G30" s="160">
        <v>9</v>
      </c>
      <c r="H30" s="179">
        <v>2532836.11</v>
      </c>
      <c r="I30" s="168"/>
      <c r="J30" s="169"/>
      <c r="K30" s="164"/>
      <c r="M30" s="180">
        <f>1/2</f>
        <v>0.5</v>
      </c>
      <c r="N30" s="107">
        <f>M30*N29/M29</f>
        <v>5400000</v>
      </c>
      <c r="O30" t="s">
        <v>374</v>
      </c>
    </row>
    <row r="31" spans="2:15" ht="29.25" thickBot="1" x14ac:dyDescent="0.3">
      <c r="B31" s="141" t="s">
        <v>369</v>
      </c>
      <c r="C31" s="142"/>
      <c r="D31" s="170">
        <v>44</v>
      </c>
      <c r="E31" s="142"/>
      <c r="F31" s="143"/>
      <c r="G31" s="170">
        <v>45</v>
      </c>
      <c r="H31" s="142"/>
      <c r="I31" s="171">
        <v>89</v>
      </c>
      <c r="J31" s="181">
        <f>J28+J29</f>
        <v>14432836.109999999</v>
      </c>
      <c r="K31" s="173">
        <f>J31/L31</f>
        <v>0.66205670229357794</v>
      </c>
      <c r="L31">
        <v>21800000</v>
      </c>
    </row>
    <row r="34" spans="2:14" ht="15.75" thickBot="1" x14ac:dyDescent="0.3"/>
    <row r="35" spans="2:14" ht="43.5" thickBot="1" x14ac:dyDescent="0.3">
      <c r="B35" s="127" t="s">
        <v>357</v>
      </c>
      <c r="C35" s="128" t="s">
        <v>358</v>
      </c>
      <c r="D35" s="129" t="s">
        <v>179</v>
      </c>
      <c r="E35" s="128" t="s">
        <v>359</v>
      </c>
      <c r="F35" s="129" t="s">
        <v>358</v>
      </c>
      <c r="G35" s="129" t="s">
        <v>179</v>
      </c>
      <c r="H35" s="128" t="s">
        <v>359</v>
      </c>
      <c r="I35" s="128" t="s">
        <v>360</v>
      </c>
      <c r="J35" s="128" t="s">
        <v>361</v>
      </c>
      <c r="K35" s="129" t="s">
        <v>379</v>
      </c>
      <c r="L35" s="148" t="s">
        <v>376</v>
      </c>
    </row>
    <row r="36" spans="2:14" ht="30.75" thickBot="1" x14ac:dyDescent="0.3">
      <c r="B36" s="149" t="s">
        <v>363</v>
      </c>
      <c r="C36" s="150" t="s">
        <v>364</v>
      </c>
      <c r="D36" s="151">
        <f>'Tab 29 po zmianach'!P40+'Tab 29 po zmianach'!P42</f>
        <v>21</v>
      </c>
      <c r="E36" s="152">
        <f>'Tab 29 po zmianach'!R42+'Tab 29 po zmianach'!R40</f>
        <v>1300000</v>
      </c>
      <c r="F36" s="153" t="s">
        <v>365</v>
      </c>
      <c r="G36" s="151">
        <f>'Tab 29 po zmianach'!P41</f>
        <v>32</v>
      </c>
      <c r="H36" s="152">
        <f>'Tab 29 po zmianach'!R41</f>
        <v>1200000</v>
      </c>
      <c r="I36" s="154">
        <v>53</v>
      </c>
      <c r="J36" s="155">
        <f>E36+H36</f>
        <v>2500000</v>
      </c>
      <c r="K36" s="174">
        <f>J36/L36</f>
        <v>0.22281639928698752</v>
      </c>
      <c r="L36" s="121">
        <f>'Tab 29 po zmianach'!T32</f>
        <v>11220000</v>
      </c>
    </row>
    <row r="37" spans="2:14" ht="75.75" customHeight="1" thickBot="1" x14ac:dyDescent="0.3">
      <c r="B37" s="156" t="s">
        <v>322</v>
      </c>
      <c r="C37" s="156"/>
      <c r="D37" s="157"/>
      <c r="E37" s="158"/>
      <c r="F37" s="159" t="s">
        <v>378</v>
      </c>
      <c r="G37" s="160">
        <f>'Tab 29 po zmianach'!P45</f>
        <v>27</v>
      </c>
      <c r="H37" s="161">
        <f>'Tab 29 po zmianach'!R45</f>
        <v>5400000</v>
      </c>
      <c r="I37" s="162">
        <f>G37+G38</f>
        <v>36</v>
      </c>
      <c r="J37" s="175">
        <f>H37+H38</f>
        <v>7932836.1099999994</v>
      </c>
      <c r="K37" s="176">
        <f>J37/L37</f>
        <v>0.73452186203703695</v>
      </c>
      <c r="L37" s="121">
        <f>'Tab 29 po zmianach'!T33</f>
        <v>10800000</v>
      </c>
      <c r="M37" s="177"/>
      <c r="N37" s="178"/>
    </row>
    <row r="38" spans="2:14" ht="45.75" thickBot="1" x14ac:dyDescent="0.3">
      <c r="B38" s="165"/>
      <c r="C38" s="165"/>
      <c r="D38" s="166"/>
      <c r="E38" s="167"/>
      <c r="F38" s="159" t="s">
        <v>377</v>
      </c>
      <c r="G38" s="160">
        <f>'Tab 29 po zmianach'!P44</f>
        <v>9</v>
      </c>
      <c r="H38" s="179">
        <f>'Tab 29 po zmianach'!R44</f>
        <v>2532836.11</v>
      </c>
      <c r="I38" s="168"/>
      <c r="J38" s="169"/>
      <c r="K38" s="164"/>
      <c r="M38" s="180"/>
      <c r="N38" s="107"/>
    </row>
    <row r="39" spans="2:14" ht="29.25" thickBot="1" x14ac:dyDescent="0.3">
      <c r="B39" s="141" t="s">
        <v>369</v>
      </c>
      <c r="C39" s="142"/>
      <c r="D39" s="170">
        <v>21</v>
      </c>
      <c r="E39" s="142"/>
      <c r="F39" s="143"/>
      <c r="G39" s="170">
        <f>G36+G37+G38</f>
        <v>68</v>
      </c>
      <c r="H39" s="142"/>
      <c r="I39" s="171">
        <v>89</v>
      </c>
      <c r="J39" s="181">
        <f>J36+J37</f>
        <v>10432836.109999999</v>
      </c>
      <c r="K39" s="173">
        <f>J39/L39</f>
        <v>0.47378910581289735</v>
      </c>
      <c r="L39" s="121">
        <f>'Tab 29 po zmianach'!T31</f>
        <v>22020000</v>
      </c>
    </row>
  </sheetData>
  <mergeCells count="14">
    <mergeCell ref="K6:K7"/>
    <mergeCell ref="B14:B15"/>
    <mergeCell ref="C14:C15"/>
    <mergeCell ref="D14:D15"/>
    <mergeCell ref="E14:E15"/>
    <mergeCell ref="I14:I15"/>
    <mergeCell ref="J14:J15"/>
    <mergeCell ref="K14:K15"/>
    <mergeCell ref="B6:B7"/>
    <mergeCell ref="C6:C7"/>
    <mergeCell ref="D6:D7"/>
    <mergeCell ref="E6:E7"/>
    <mergeCell ref="I6:I7"/>
    <mergeCell ref="J6:J7"/>
  </mergeCells>
  <pageMargins left="0.7" right="0.7" top="0.75" bottom="0.75" header="0.3" footer="0.3"/>
  <pageSetup paperSize="9" scale="3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Tab 29</vt:lpstr>
      <vt:lpstr>Tab 29 zmiany</vt:lpstr>
      <vt:lpstr>Tab 29 po zmianach</vt:lpstr>
      <vt:lpstr>Tab 35 LSR upro IX 2017</vt:lpstr>
      <vt:lpstr>Tab 34 - il m. pra IX 2017</vt:lpstr>
      <vt:lpstr>'Tab 29'!Obszar_wydruku</vt:lpstr>
      <vt:lpstr>'Tab 29 po zmianach'!Obszar_wydruku</vt:lpstr>
      <vt:lpstr>'Tab 29 zmiany'!Obszar_wydruku</vt:lpstr>
      <vt:lpstr>'Tab 29 po zmianach'!Tytuły_wydruku</vt:lpstr>
      <vt:lpstr>'Tab 29 zmiany'!Tytuły_wydruku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esnazyk</dc:creator>
  <cp:lastModifiedBy>esnazyk</cp:lastModifiedBy>
  <cp:lastPrinted>2017-09-29T11:56:21Z</cp:lastPrinted>
  <dcterms:created xsi:type="dcterms:W3CDTF">2017-09-26T10:36:15Z</dcterms:created>
  <dcterms:modified xsi:type="dcterms:W3CDTF">2017-09-29T11:56:22Z</dcterms:modified>
</cp:coreProperties>
</file>