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nazyk\Desktop\"/>
    </mc:Choice>
  </mc:AlternateContent>
  <bookViews>
    <workbookView xWindow="0" yWindow="0" windowWidth="23040" windowHeight="9192" activeTab="4"/>
  </bookViews>
  <sheets>
    <sheet name="Zakres" sheetId="5" r:id="rId1"/>
    <sheet name="Przychody" sheetId="1" r:id="rId2"/>
    <sheet name="RZS" sheetId="2" r:id="rId3"/>
    <sheet name="NPV + wsk_rent" sheetId="3" r:id="rId4"/>
    <sheet name="Arkusz1" sheetId="6" r:id="rId5"/>
  </sheets>
  <definedNames>
    <definedName name="_ftn1" localSheetId="4">Arkusz1!$A$13</definedName>
    <definedName name="_ftn2" localSheetId="4">Arkusz1!$A$14</definedName>
    <definedName name="_ftnref1" localSheetId="4">Arkusz1!$D$2</definedName>
    <definedName name="_ftnref2" localSheetId="4">Arkusz1!$G$2</definedName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6" l="1"/>
  <c r="E10" i="6"/>
  <c r="F10" i="6"/>
  <c r="C10" i="6"/>
  <c r="F4" i="6"/>
  <c r="E4" i="6"/>
  <c r="D4" i="6"/>
  <c r="C4" i="6"/>
  <c r="C31" i="2"/>
  <c r="C6" i="2"/>
  <c r="E8" i="2"/>
  <c r="D8" i="2"/>
  <c r="C8" i="2"/>
  <c r="E22" i="2"/>
  <c r="D22" i="2"/>
  <c r="C22" i="2"/>
  <c r="J20" i="2"/>
  <c r="M10" i="5"/>
  <c r="M8" i="5"/>
  <c r="M6" i="5"/>
  <c r="M5" i="5"/>
  <c r="E21" i="2"/>
  <c r="E20" i="2"/>
  <c r="D21" i="2"/>
  <c r="D20" i="2"/>
  <c r="C21" i="2"/>
  <c r="C20" i="2"/>
  <c r="E18" i="2"/>
  <c r="D18" i="2"/>
  <c r="C18" i="2"/>
  <c r="E16" i="2"/>
  <c r="D16" i="2"/>
  <c r="C16" i="2"/>
  <c r="E15" i="2"/>
  <c r="D15" i="2"/>
  <c r="C15" i="2"/>
  <c r="E14" i="2"/>
  <c r="D14" i="2"/>
  <c r="C14" i="2"/>
  <c r="E13" i="2"/>
  <c r="D13" i="2"/>
  <c r="C13" i="2"/>
  <c r="C12" i="2"/>
  <c r="D12" i="2"/>
  <c r="E12" i="2" s="1"/>
  <c r="J17" i="5"/>
  <c r="I5" i="5"/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15" i="5" l="1"/>
  <c r="I14" i="5"/>
  <c r="I13" i="5"/>
  <c r="I7" i="5"/>
  <c r="I6" i="5"/>
  <c r="P21" i="5" l="1"/>
  <c r="P23" i="5"/>
  <c r="I17" i="5"/>
  <c r="J18" i="5" s="1"/>
  <c r="J19" i="5" s="1"/>
  <c r="P22" i="5"/>
  <c r="I18" i="5"/>
  <c r="C10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E29" i="2" l="1"/>
  <c r="E13" i="3" l="1"/>
  <c r="D13" i="3"/>
  <c r="C13" i="3"/>
  <c r="E7" i="3"/>
  <c r="D29" i="2"/>
  <c r="D7" i="3" s="1"/>
  <c r="C29" i="2"/>
  <c r="C7" i="3" s="1"/>
  <c r="C6" i="3"/>
  <c r="C15" i="3"/>
  <c r="D8" i="3" l="1"/>
  <c r="C8" i="3"/>
  <c r="E10" i="2"/>
  <c r="E30" i="2" s="1"/>
  <c r="E31" i="2" s="1"/>
  <c r="C30" i="2"/>
  <c r="C9" i="3" s="1"/>
  <c r="F22" i="3"/>
  <c r="D10" i="2"/>
  <c r="D30" i="2" s="1"/>
  <c r="D31" i="2" s="1"/>
  <c r="E9" i="3" l="1"/>
  <c r="C11" i="3"/>
  <c r="D22" i="3"/>
  <c r="D9" i="3"/>
  <c r="D11" i="3" s="1"/>
  <c r="C22" i="3"/>
  <c r="E8" i="3"/>
  <c r="E22" i="3"/>
  <c r="C32" i="2"/>
  <c r="E11" i="3" l="1"/>
  <c r="E14" i="3" s="1"/>
  <c r="E32" i="2"/>
  <c r="C14" i="3"/>
  <c r="D32" i="2"/>
  <c r="D14" i="3" s="1"/>
  <c r="C16" i="3" l="1"/>
</calcChain>
</file>

<file path=xl/sharedStrings.xml><?xml version="1.0" encoding="utf-8"?>
<sst xmlns="http://schemas.openxmlformats.org/spreadsheetml/2006/main" count="159" uniqueCount="130">
  <si>
    <t>Jednostka miary</t>
  </si>
  <si>
    <t xml:space="preserve">Rok n+1 </t>
  </si>
  <si>
    <t>Rok n + 2</t>
  </si>
  <si>
    <t>Rok n+3</t>
  </si>
  <si>
    <t xml:space="preserve">Cena jednostkowa sprzedaży 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</si>
  <si>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</si>
  <si>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</si>
  <si>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</si>
  <si>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</si>
  <si>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</si>
  <si>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</si>
  <si>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</si>
  <si>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</si>
  <si>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</si>
  <si>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</si>
  <si>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</si>
  <si>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</si>
  <si>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</si>
  <si>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</si>
  <si>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</si>
  <si>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</si>
  <si>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</si>
  <si>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</si>
  <si>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</si>
  <si>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</si>
  <si>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</si>
  <si>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</si>
  <si>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</si>
  <si>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</si>
  <si>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</si>
  <si>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</si>
  <si>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</si>
  <si>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</si>
  <si>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</si>
  <si>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</si>
  <si>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</si>
  <si>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</si>
  <si>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</si>
  <si>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</si>
  <si>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</si>
  <si>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</si>
  <si>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</si>
  <si>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</si>
  <si>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</si>
  <si>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</si>
  <si>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</si>
  <si>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</si>
  <si>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</si>
  <si>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</si>
  <si>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</si>
  <si>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</si>
  <si>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</si>
  <si>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</si>
  <si>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</si>
  <si>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</si>
  <si>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</si>
  <si>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</si>
  <si>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</si>
  <si>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</si>
  <si>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</si>
  <si>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</si>
  <si>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</si>
  <si>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</si>
  <si>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</si>
  <si>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</si>
  <si>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</si>
  <si>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</si>
  <si>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</si>
  <si>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</si>
  <si>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</si>
  <si>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</si>
  <si>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</si>
  <si>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</si>
  <si>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</si>
  <si>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</si>
  <si>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</si>
  <si>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</si>
  <si>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</si>
  <si>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</si>
  <si>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</si>
  <si>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</si>
  <si>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</si>
  <si>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</si>
  <si>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</si>
  <si>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</si>
  <si>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</si>
  <si>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</si>
  <si>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</si>
  <si>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</si>
  <si>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</si>
  <si>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</si>
  <si>
    <t>środek transportu</t>
  </si>
  <si>
    <t>betoniarka</t>
  </si>
  <si>
    <t>wiertarka</t>
  </si>
  <si>
    <t>odkurzacz przenysłowy</t>
  </si>
  <si>
    <t>uzasadnienie+ badanie rynku (oferty z inetrnetu)</t>
  </si>
  <si>
    <t>pojemność paki/nagażnika, moc i rodzaj silnika, gwarancja, serwis</t>
  </si>
  <si>
    <t xml:space="preserve">do zaplanowanej działalności jest niezbędny środek transportu, aby dojechać do klienta z narzędziami (usługa jest wykonywana u klienta); w jaki sposób dokonano rozeznania cenowego? Dalczego wyrałam teą , anie inna ofertę ? Bo niższa cena, bo serwis lepszy, bo dłuższa  gwarancja </t>
  </si>
  <si>
    <r>
      <t>wydatki stanowiące podstawę do wyliczenia kwoty pomocy</t>
    </r>
    <r>
      <rPr>
        <b/>
        <sz val="10"/>
        <color rgb="FFFF0000"/>
        <rFont val="Times New Roman"/>
        <family val="1"/>
        <charset val="238"/>
      </rPr>
      <t>-&gt; tylko koszty kwalifikowalne z rozporzadzenia (czyt. Koszty z prezentacji)</t>
    </r>
  </si>
  <si>
    <t>Planowana wielkość kosztów została przyjęta na podstawie analizy zapotrzebowania sprzetowego i lokalowego dla planowanej do podjęcia działalności.
Dsfghjkhnlt</t>
  </si>
  <si>
    <t>koncesje!</t>
  </si>
  <si>
    <t>ZUS</t>
  </si>
  <si>
    <t>z tytułu refundacji (amortyzacja z tab. 7.1)</t>
  </si>
  <si>
    <t>8.1 odpady z budowy</t>
  </si>
  <si>
    <t>8.2 hydraulik</t>
  </si>
  <si>
    <t>8.3 amortyzacja</t>
  </si>
  <si>
    <t>remont lokalu</t>
  </si>
  <si>
    <t>Stawka amortyzacji</t>
  </si>
  <si>
    <t>odpis roczny</t>
  </si>
  <si>
    <t>usługa remontowa mieszkania</t>
  </si>
  <si>
    <t>usługa</t>
  </si>
  <si>
    <t>cena konkurencji</t>
  </si>
  <si>
    <t>Jakie są założenia co do ilości i ceny?
Przyjeto reprezentatywny przykład, ponieważ usługa jest bardzo specyficzna i zalezy od wymagań klienta. Ilośc, jaka jest możliwa do realizacji zakłada, że nie będzie pracowników, natomaist wkosztach w RZS wskazano, że w niektórych relalizacjach będzie konieczna usługa (podwykonawca).</t>
  </si>
  <si>
    <t>17%/32%</t>
  </si>
  <si>
    <r>
      <t xml:space="preserve">1.     zużycie materiałów i energii: materiały eksploatacyjne do urządzeń: 200 zł/miesiąc, zakładam wzrost w każdym kolejnym o 10%; zakup paliwa na dojazdy do klienta, przyjmuje 400 zł/miesiąc
2.     usługi obce (w tym m.in. czynsze, naprawy, konserwacje maszyn i budynków): usługa księgowa 200 zł/miesiąc, planowany wzrost kosztów usług 15% co roku; przegląd pojazdu używanego 120 zł/rok, planowany wzrost opłaty o 15% co roku
3.     podatki i opłaty- podatek od nieruchomości wg stawki dla przedsiębiorców (Gmina Przygodzice: http://bip3.wokiss.pl/przygodzice/bip/rada-gminy/uchwaly-rady-gminy/2021.html?pid=6008), 10m2*11,62, planowany wzrost w koljnych latach 10%
4.     wynagrodzenia i pochodne-  opłaty do ZUS, samozatrudnienie, </t>
    </r>
    <r>
      <rPr>
        <sz val="10"/>
        <color rgb="FFFF0000"/>
        <rFont val="Times New Roman"/>
        <family val="1"/>
        <charset val="238"/>
      </rPr>
      <t>750 zł</t>
    </r>
    <r>
      <rPr>
        <sz val="10"/>
        <color theme="1"/>
        <rFont val="Times New Roman"/>
        <family val="1"/>
        <charset val="238"/>
      </rPr>
      <t>/ miesiąc preferencyjny ZUS w roku n, w roku n-1 planowany wzrost o 10%, w roku n+2 kolejny wzrost o 10%, ale juz koniec okresu preferencyjnego
5.     koszty finansowe np.</t>
    </r>
    <r>
      <rPr>
        <sz val="10"/>
        <color rgb="FFFF0000"/>
        <rFont val="Times New Roman"/>
        <family val="1"/>
        <charset val="238"/>
      </rPr>
      <t xml:space="preserve"> raty kredytów</t>
    </r>
    <r>
      <rPr>
        <sz val="10"/>
        <color theme="1"/>
        <rFont val="Times New Roman"/>
        <family val="1"/>
        <charset val="238"/>
      </rPr>
      <t xml:space="preserve">, koszty przelewów banowych, koszty prowadzenia konta; 50 zł/miesiąc
6.     zakup towarów
7.     ubezpieczenia majątkowe: OC auta, AC; ubezpieczenie OC przedsiębiorcy; wzrost co roku o 20%
8.     pozostałe koszty
8.1 koszty odpadów- 1500 zł/usługa, 2 usługi w miesiącu
8.2 wynajem hydraulika- 1000 zł/usługa, 2x w miesiącu
8.3 amortyzacja: amortyzujemy te sprzety, których wartośc początkowa była min. 10 000 zł; stawki z Rozporzadzenie MF;  stawka dla pojadu 20%, stawka dla betoniarki 20%, stawka dla budynku, który remontuje 2,5%
Podatek dochodowy: 17/32%, na zasadach ogólnych, kwota wolna od podatku 30 000 zł, do kwoty 85 528 stawka 17%, powyżej 32%
</t>
    </r>
  </si>
  <si>
    <t>Źródło pozyskania środków</t>
  </si>
  <si>
    <t>Wartość pozyskanych środków (PLN)</t>
  </si>
  <si>
    <t>Rok n-2</t>
  </si>
  <si>
    <t>Rok n-1</t>
  </si>
  <si>
    <t>Rok n[1]</t>
  </si>
  <si>
    <t>Rok n+3[2]</t>
  </si>
  <si>
    <t>Kwota pomocy</t>
  </si>
  <si>
    <t xml:space="preserve">Środki własne </t>
  </si>
  <si>
    <t>Pożyczka / kredyt (jeśli występuje)</t>
  </si>
  <si>
    <t>Finansowanie ze strony osób trzecich (jeśli występuje)</t>
  </si>
  <si>
    <t>Inne środki (jakie?)</t>
  </si>
  <si>
    <t>Wartość pozyskanych środków ogółem</t>
  </si>
  <si>
    <t>[1] Rok n- rok dokonania przez ARiMR płatności końcowej w ramach operacji</t>
  </si>
  <si>
    <t>[2] Rok n+3 dotyczy rozwijania działalności gospodarczej</t>
  </si>
  <si>
    <t>nie może być niższa niż koszty w RZS (porównujemy to z RAZEM KOSZTY z RZS)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</si>
</sst>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zł&quot;;[Red]\-#,##0.00\ &quot;zł&quot;"/>
    <numFmt numFmtId="43" formatCode="_-* #,##0.00_-;\-* #,##0.00_-;_-* &quot;-&quot;??_-;_-@_-"/>
    <numFmt numFmtId="164" formatCode="0.0000"/>
    <numFmt numFmtId="165" formatCode="_-* #,##0.00\ _z_ł_-;\-* #,##0.00\ _z_ł_-;_-* &quot;-&quot;??\ _z_ł_-;_-@_-"/>
    <numFmt numFmtId="168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43" fontId="2" fillId="0" borderId="0" xfId="2" applyFont="1"/>
    <xf numFmtId="43" fontId="2" fillId="2" borderId="1" xfId="2" applyFont="1" applyFill="1" applyBorder="1" applyAlignment="1">
      <alignment horizontal="center" vertical="center" wrapText="1"/>
    </xf>
    <xf numFmtId="43" fontId="3" fillId="0" borderId="1" xfId="2" applyFont="1" applyBorder="1" applyAlignment="1" applyProtection="1">
      <alignment horizontal="center" vertical="center" wrapText="1"/>
      <protection locked="0"/>
    </xf>
    <xf numFmtId="43" fontId="4" fillId="12" borderId="15" xfId="2" applyFont="1" applyFill="1" applyBorder="1" applyAlignment="1" applyProtection="1">
      <alignment vertical="center" wrapText="1"/>
      <protection locked="0"/>
    </xf>
    <xf numFmtId="43" fontId="4" fillId="0" borderId="1" xfId="2" applyFont="1" applyBorder="1" applyAlignment="1" applyProtection="1">
      <alignment horizontal="center" vertical="center" wrapText="1"/>
    </xf>
    <xf numFmtId="43" fontId="4" fillId="0" borderId="1" xfId="2" applyFont="1" applyBorder="1" applyAlignment="1" applyProtection="1">
      <alignment horizontal="center" vertical="center" wrapText="1"/>
      <protection locked="0"/>
    </xf>
    <xf numFmtId="43" fontId="0" fillId="0" borderId="0" xfId="2" applyFont="1"/>
    <xf numFmtId="0" fontId="8" fillId="0" borderId="0" xfId="0" applyFont="1" applyFill="1"/>
    <xf numFmtId="0" fontId="8" fillId="0" borderId="0" xfId="0" applyFont="1"/>
    <xf numFmtId="0" fontId="9" fillId="2" borderId="1" xfId="0" applyFont="1" applyFill="1" applyBorder="1" applyAlignment="1">
      <alignment horizontal="right" vertical="center" wrapText="1"/>
    </xf>
    <xf numFmtId="43" fontId="9" fillId="0" borderId="1" xfId="2" applyFont="1" applyBorder="1" applyAlignment="1" applyProtection="1">
      <alignment horizontal="center" vertical="center" wrapText="1"/>
    </xf>
    <xf numFmtId="43" fontId="10" fillId="5" borderId="0" xfId="2" applyFont="1" applyFill="1" applyBorder="1" applyProtection="1"/>
    <xf numFmtId="0" fontId="10" fillId="0" borderId="0" xfId="0" applyFont="1"/>
    <xf numFmtId="0" fontId="2" fillId="0" borderId="1" xfId="0" applyFont="1" applyBorder="1" applyAlignment="1" applyProtection="1">
      <alignment horizontal="left" vertical="top" wrapText="1"/>
      <protection locked="0"/>
    </xf>
    <xf numFmtId="165" fontId="2" fillId="5" borderId="0" xfId="0" applyNumberFormat="1" applyFont="1" applyFill="1" applyBorder="1" applyProtection="1"/>
    <xf numFmtId="168" fontId="0" fillId="0" borderId="0" xfId="1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43" fontId="2" fillId="0" borderId="0" xfId="2" applyFont="1" applyProtection="1">
      <protection locked="0"/>
    </xf>
    <xf numFmtId="43" fontId="10" fillId="0" borderId="0" xfId="2" applyFont="1"/>
    <xf numFmtId="43" fontId="2" fillId="0" borderId="1" xfId="0" applyNumberFormat="1" applyFont="1" applyBorder="1" applyProtection="1">
      <protection locked="0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0" fontId="11" fillId="14" borderId="18" xfId="3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1" fillId="0" borderId="0" xfId="3" applyAlignment="1">
      <alignment vertical="center"/>
    </xf>
    <xf numFmtId="43" fontId="2" fillId="2" borderId="18" xfId="2" applyFont="1" applyFill="1" applyBorder="1" applyAlignment="1">
      <alignment horizontal="center" vertical="center" wrapText="1"/>
    </xf>
    <xf numFmtId="43" fontId="11" fillId="2" borderId="19" xfId="2" applyFont="1" applyFill="1" applyBorder="1" applyAlignment="1">
      <alignment horizontal="center" vertical="center" wrapText="1"/>
    </xf>
    <xf numFmtId="43" fontId="2" fillId="2" borderId="19" xfId="2" applyFont="1" applyFill="1" applyBorder="1" applyAlignment="1">
      <alignment horizontal="center" vertical="center" wrapText="1"/>
    </xf>
    <xf numFmtId="43" fontId="4" fillId="0" borderId="17" xfId="2" applyFont="1" applyBorder="1" applyAlignment="1">
      <alignment horizontal="center" vertical="center" wrapText="1"/>
    </xf>
    <xf numFmtId="43" fontId="4" fillId="14" borderId="17" xfId="2" applyFont="1" applyFill="1" applyBorder="1" applyAlignment="1">
      <alignment horizontal="center" vertical="center" wrapText="1"/>
    </xf>
  </cellXfs>
  <cellStyles count="4">
    <cellStyle name="Dziesiętny" xfId="2" builtinId="3"/>
    <cellStyle name="Hiperłącze" xfId="3" builtinId="8"/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17" sqref="I17"/>
    </sheetView>
  </sheetViews>
  <sheetFormatPr defaultRowHeight="14.4" x14ac:dyDescent="0.3"/>
  <cols>
    <col min="1" max="1" width="1.5546875" style="64" customWidth="1"/>
    <col min="2" max="2" width="3.88671875" customWidth="1"/>
    <col min="3" max="3" width="3.33203125" customWidth="1"/>
    <col min="4" max="4" width="21.44140625" bestFit="1" customWidth="1"/>
    <col min="5" max="5" width="14" bestFit="1" customWidth="1"/>
    <col min="6" max="6" width="17.6640625" customWidth="1"/>
    <col min="7" max="7" width="8.5546875" customWidth="1"/>
    <col min="8" max="8" width="13.33203125" customWidth="1"/>
    <col min="9" max="9" width="14" style="132" customWidth="1"/>
    <col min="10" max="10" width="22.109375" style="53" customWidth="1"/>
    <col min="11" max="11" width="18" customWidth="1"/>
    <col min="12" max="12" width="1" customWidth="1"/>
    <col min="13" max="13" width="16.88671875" style="126" customWidth="1"/>
    <col min="14" max="14" width="27" style="23" customWidth="1"/>
    <col min="15" max="15" width="7.109375" style="23" customWidth="1"/>
    <col min="16" max="16" width="7.44140625" style="23" customWidth="1"/>
  </cols>
  <sheetData>
    <row r="1" spans="1:16" x14ac:dyDescent="0.3">
      <c r="C1" s="75" t="s">
        <v>41</v>
      </c>
      <c r="D1" s="75"/>
      <c r="E1" s="75"/>
      <c r="F1" s="75"/>
      <c r="G1" s="23"/>
      <c r="H1" s="23"/>
      <c r="I1" s="126"/>
      <c r="J1" s="69" t="s">
        <v>81</v>
      </c>
    </row>
    <row r="2" spans="1:16" ht="35.25" customHeight="1" x14ac:dyDescent="0.3">
      <c r="C2" s="57" t="s">
        <v>42</v>
      </c>
      <c r="D2" s="57"/>
      <c r="E2" s="57"/>
      <c r="F2" s="57"/>
      <c r="G2" s="61"/>
      <c r="H2" s="61"/>
      <c r="I2" s="126"/>
      <c r="J2" s="70"/>
    </row>
    <row r="3" spans="1:16" ht="51.75" customHeight="1" x14ac:dyDescent="0.3">
      <c r="C3" s="76" t="s">
        <v>43</v>
      </c>
      <c r="D3" s="76"/>
      <c r="E3" s="13" t="s">
        <v>44</v>
      </c>
      <c r="F3" s="55" t="s">
        <v>45</v>
      </c>
      <c r="G3" s="13" t="s">
        <v>46</v>
      </c>
      <c r="H3" s="13" t="s">
        <v>47</v>
      </c>
      <c r="I3" s="127" t="s">
        <v>48</v>
      </c>
      <c r="J3" s="54" t="s">
        <v>82</v>
      </c>
    </row>
    <row r="4" spans="1:16" s="11" customFormat="1" ht="24.6" customHeight="1" x14ac:dyDescent="0.3">
      <c r="A4" s="64"/>
      <c r="B4"/>
      <c r="C4" s="77" t="s">
        <v>98</v>
      </c>
      <c r="D4" s="78"/>
      <c r="E4" s="78"/>
      <c r="F4" s="78"/>
      <c r="G4" s="78"/>
      <c r="H4" s="78"/>
      <c r="I4" s="79"/>
      <c r="J4" s="41"/>
      <c r="K4" s="142" t="s">
        <v>107</v>
      </c>
      <c r="M4" s="143" t="s">
        <v>108</v>
      </c>
      <c r="N4" s="27"/>
      <c r="O4" s="27"/>
      <c r="P4" s="27"/>
    </row>
    <row r="5" spans="1:16" s="11" customFormat="1" ht="75.599999999999994" customHeight="1" x14ac:dyDescent="0.3">
      <c r="A5" s="65"/>
      <c r="C5" s="9" t="s">
        <v>49</v>
      </c>
      <c r="D5" s="9" t="s">
        <v>91</v>
      </c>
      <c r="E5" s="14" t="s">
        <v>97</v>
      </c>
      <c r="F5" s="14" t="s">
        <v>96</v>
      </c>
      <c r="G5" s="14">
        <v>1</v>
      </c>
      <c r="H5" s="43">
        <v>87000</v>
      </c>
      <c r="I5" s="128">
        <f>G5*H5</f>
        <v>87000</v>
      </c>
      <c r="J5" s="41" t="s">
        <v>63</v>
      </c>
      <c r="K5" s="11">
        <v>0.2</v>
      </c>
      <c r="M5" s="143">
        <f>H5*K5</f>
        <v>17400</v>
      </c>
      <c r="N5" s="27"/>
      <c r="O5" s="27"/>
      <c r="P5" s="27"/>
    </row>
    <row r="6" spans="1:16" s="11" customFormat="1" ht="15" customHeight="1" x14ac:dyDescent="0.3">
      <c r="A6" s="65"/>
      <c r="C6" s="9" t="s">
        <v>51</v>
      </c>
      <c r="D6" s="9" t="s">
        <v>92</v>
      </c>
      <c r="E6" s="14"/>
      <c r="F6" s="14"/>
      <c r="G6" s="14">
        <v>1</v>
      </c>
      <c r="H6" s="43">
        <v>11000</v>
      </c>
      <c r="I6" s="128">
        <f t="shared" ref="I5:I15" si="0">G6*H6</f>
        <v>11000</v>
      </c>
      <c r="J6" s="41" t="s">
        <v>63</v>
      </c>
      <c r="K6" s="11">
        <v>0.2</v>
      </c>
      <c r="M6" s="143">
        <f>H6*K6</f>
        <v>2200</v>
      </c>
      <c r="N6" s="27"/>
      <c r="O6" s="27"/>
      <c r="P6" s="27"/>
    </row>
    <row r="7" spans="1:16" s="11" customFormat="1" x14ac:dyDescent="0.3">
      <c r="A7" s="65"/>
      <c r="C7" s="9" t="s">
        <v>52</v>
      </c>
      <c r="D7" s="9" t="s">
        <v>93</v>
      </c>
      <c r="E7" s="14"/>
      <c r="F7" s="14"/>
      <c r="G7" s="14">
        <v>1</v>
      </c>
      <c r="H7" s="43">
        <v>5000</v>
      </c>
      <c r="I7" s="128">
        <f t="shared" si="0"/>
        <v>5000</v>
      </c>
      <c r="J7" s="41" t="s">
        <v>85</v>
      </c>
      <c r="M7" s="143"/>
      <c r="N7" s="27"/>
      <c r="O7" s="27"/>
      <c r="P7" s="27"/>
    </row>
    <row r="8" spans="1:16" s="11" customFormat="1" x14ac:dyDescent="0.3">
      <c r="A8" s="65"/>
      <c r="C8" s="9" t="s">
        <v>53</v>
      </c>
      <c r="D8" s="9" t="s">
        <v>106</v>
      </c>
      <c r="E8" s="14"/>
      <c r="F8" s="14"/>
      <c r="G8" s="14">
        <v>1</v>
      </c>
      <c r="H8" s="43">
        <v>25000</v>
      </c>
      <c r="I8" s="128">
        <v>25000</v>
      </c>
      <c r="J8" s="41" t="s">
        <v>63</v>
      </c>
      <c r="K8" s="141">
        <v>2.5000000000000001E-2</v>
      </c>
      <c r="M8" s="143">
        <f>(300000+I8)*K8</f>
        <v>8125</v>
      </c>
      <c r="N8" s="27"/>
      <c r="O8" s="27"/>
      <c r="P8" s="27"/>
    </row>
    <row r="9" spans="1:16" s="11" customFormat="1" ht="52.8" x14ac:dyDescent="0.3">
      <c r="A9" s="65"/>
      <c r="C9" s="9" t="s">
        <v>54</v>
      </c>
      <c r="D9" s="9" t="s">
        <v>94</v>
      </c>
      <c r="E9" s="14" t="s">
        <v>95</v>
      </c>
      <c r="F9" s="14"/>
      <c r="G9" s="14">
        <v>1</v>
      </c>
      <c r="H9" s="43">
        <v>3500</v>
      </c>
      <c r="I9" s="128">
        <f>G9*H9</f>
        <v>3500</v>
      </c>
      <c r="J9" s="41" t="s">
        <v>85</v>
      </c>
      <c r="M9" s="143"/>
      <c r="N9" s="27"/>
      <c r="O9" s="27"/>
      <c r="P9" s="27"/>
    </row>
    <row r="10" spans="1:16" s="11" customFormat="1" ht="15" customHeight="1" x14ac:dyDescent="0.3">
      <c r="A10" s="65"/>
      <c r="C10" s="77" t="s">
        <v>57</v>
      </c>
      <c r="D10" s="78"/>
      <c r="E10" s="78"/>
      <c r="F10" s="78"/>
      <c r="G10" s="78"/>
      <c r="H10" s="78"/>
      <c r="I10" s="129"/>
      <c r="J10" s="41"/>
      <c r="M10" s="143">
        <f>M5+M6+M8</f>
        <v>27725</v>
      </c>
      <c r="N10" s="27"/>
      <c r="O10" s="27"/>
      <c r="P10" s="27"/>
    </row>
    <row r="11" spans="1:16" s="11" customFormat="1" x14ac:dyDescent="0.3">
      <c r="A11" s="65"/>
      <c r="C11" s="9" t="s">
        <v>49</v>
      </c>
      <c r="D11" s="9"/>
      <c r="E11" s="14"/>
      <c r="F11" s="14"/>
      <c r="G11" s="14"/>
      <c r="H11" s="14"/>
      <c r="I11" s="128"/>
      <c r="J11" s="41" t="s">
        <v>50</v>
      </c>
      <c r="M11" s="143"/>
      <c r="N11" s="27"/>
      <c r="O11" s="27"/>
      <c r="P11" s="27"/>
    </row>
    <row r="12" spans="1:16" s="11" customFormat="1" x14ac:dyDescent="0.3">
      <c r="A12" s="65"/>
      <c r="C12" s="9" t="s">
        <v>51</v>
      </c>
      <c r="D12" s="9"/>
      <c r="E12" s="14"/>
      <c r="F12" s="14"/>
      <c r="G12" s="14"/>
      <c r="H12" s="14"/>
      <c r="I12" s="128"/>
      <c r="J12" s="41" t="s">
        <v>50</v>
      </c>
      <c r="M12" s="143"/>
      <c r="N12" s="27"/>
      <c r="O12" s="27"/>
      <c r="P12" s="27"/>
    </row>
    <row r="13" spans="1:16" s="11" customFormat="1" x14ac:dyDescent="0.3">
      <c r="A13" s="65"/>
      <c r="C13" s="9" t="s">
        <v>52</v>
      </c>
      <c r="D13" s="9"/>
      <c r="E13" s="14"/>
      <c r="F13" s="14"/>
      <c r="G13" s="14"/>
      <c r="H13" s="14"/>
      <c r="I13" s="128">
        <f t="shared" si="0"/>
        <v>0</v>
      </c>
      <c r="J13" s="41" t="s">
        <v>50</v>
      </c>
      <c r="M13" s="143"/>
      <c r="N13" s="27"/>
      <c r="O13" s="27"/>
      <c r="P13" s="27"/>
    </row>
    <row r="14" spans="1:16" s="11" customFormat="1" x14ac:dyDescent="0.3">
      <c r="A14" s="65"/>
      <c r="C14" s="9" t="s">
        <v>53</v>
      </c>
      <c r="D14" s="9"/>
      <c r="E14" s="14"/>
      <c r="F14" s="14"/>
      <c r="G14" s="14"/>
      <c r="H14" s="14"/>
      <c r="I14" s="128">
        <f t="shared" si="0"/>
        <v>0</v>
      </c>
      <c r="J14" s="41" t="s">
        <v>50</v>
      </c>
      <c r="M14" s="143"/>
      <c r="N14" s="27"/>
      <c r="O14" s="27"/>
      <c r="P14" s="27"/>
    </row>
    <row r="15" spans="1:16" s="11" customFormat="1" x14ac:dyDescent="0.3">
      <c r="A15" s="65"/>
      <c r="C15" s="9" t="s">
        <v>54</v>
      </c>
      <c r="D15" s="9"/>
      <c r="E15" s="14"/>
      <c r="F15" s="14"/>
      <c r="G15" s="14"/>
      <c r="H15" s="14"/>
      <c r="I15" s="128">
        <f t="shared" si="0"/>
        <v>0</v>
      </c>
      <c r="J15" s="41" t="s">
        <v>50</v>
      </c>
      <c r="M15" s="143"/>
      <c r="N15" s="27"/>
      <c r="O15" s="27"/>
      <c r="P15" s="27"/>
    </row>
    <row r="16" spans="1:16" x14ac:dyDescent="0.3">
      <c r="C16" s="71" t="s">
        <v>55</v>
      </c>
      <c r="D16" s="71"/>
      <c r="E16" s="71"/>
      <c r="F16" s="71"/>
      <c r="G16" s="71"/>
      <c r="H16" s="71"/>
      <c r="I16" s="130">
        <f>I17+I18</f>
        <v>131500</v>
      </c>
      <c r="J16" s="42"/>
    </row>
    <row r="17" spans="1:16" s="134" customFormat="1" x14ac:dyDescent="0.3">
      <c r="A17" s="133"/>
      <c r="C17" s="135" t="s">
        <v>56</v>
      </c>
      <c r="D17" s="135"/>
      <c r="E17" s="135"/>
      <c r="F17" s="135"/>
      <c r="G17" s="135"/>
      <c r="H17" s="135"/>
      <c r="I17" s="136">
        <f>SUM(I5:I9)</f>
        <v>131500</v>
      </c>
      <c r="J17" s="137">
        <f>100000/0.95</f>
        <v>105263.15789473684</v>
      </c>
      <c r="M17" s="144"/>
      <c r="N17" s="138"/>
      <c r="O17" s="138"/>
      <c r="P17" s="138"/>
    </row>
    <row r="18" spans="1:16" x14ac:dyDescent="0.3">
      <c r="C18" s="71" t="s">
        <v>57</v>
      </c>
      <c r="D18" s="71"/>
      <c r="E18" s="71"/>
      <c r="F18" s="71"/>
      <c r="G18" s="71"/>
      <c r="H18" s="71"/>
      <c r="I18" s="136">
        <f>SUM(I11:I15)</f>
        <v>0</v>
      </c>
      <c r="J18" s="140">
        <f>I17-80000</f>
        <v>51500</v>
      </c>
    </row>
    <row r="19" spans="1:16" x14ac:dyDescent="0.3">
      <c r="C19" s="71" t="s">
        <v>59</v>
      </c>
      <c r="D19" s="71"/>
      <c r="E19" s="71"/>
      <c r="F19" s="71"/>
      <c r="G19" s="71"/>
      <c r="H19" s="71"/>
      <c r="I19" s="131">
        <v>100000</v>
      </c>
      <c r="J19" s="140">
        <f>J18-20000</f>
        <v>31500</v>
      </c>
    </row>
    <row r="20" spans="1:16" ht="15" customHeight="1" x14ac:dyDescent="0.3">
      <c r="C20" s="72"/>
      <c r="D20" s="72"/>
      <c r="E20" s="72"/>
      <c r="F20" s="72"/>
      <c r="G20" s="72"/>
      <c r="H20" s="72"/>
      <c r="I20" s="72"/>
      <c r="J20" s="42"/>
      <c r="M20" s="126" t="s">
        <v>50</v>
      </c>
      <c r="N20" s="23" t="s">
        <v>50</v>
      </c>
    </row>
    <row r="21" spans="1:16" ht="59.25" customHeight="1" x14ac:dyDescent="0.3">
      <c r="C21" s="73" t="s">
        <v>61</v>
      </c>
      <c r="D21" s="74"/>
      <c r="E21" s="74"/>
      <c r="F21" s="74"/>
      <c r="G21" s="74"/>
      <c r="H21" s="74"/>
      <c r="I21" s="74"/>
      <c r="J21" s="42"/>
      <c r="M21" s="126" t="s">
        <v>79</v>
      </c>
      <c r="N21" s="23" t="s">
        <v>63</v>
      </c>
      <c r="P21" s="23">
        <f>SUMIFS(I5:I15,J5:J15,"Ki pieniężne")</f>
        <v>123000</v>
      </c>
    </row>
    <row r="22" spans="1:16" x14ac:dyDescent="0.3">
      <c r="C22" s="139" t="s">
        <v>99</v>
      </c>
      <c r="D22" s="139"/>
      <c r="E22" s="139"/>
      <c r="F22" s="139"/>
      <c r="G22" s="139"/>
      <c r="H22" s="139"/>
      <c r="I22" s="139"/>
      <c r="J22" s="42"/>
      <c r="M22" s="126" t="s">
        <v>84</v>
      </c>
      <c r="N22" s="23" t="s">
        <v>62</v>
      </c>
      <c r="P22" s="23">
        <f>SUMIFS(I5:I15,J5:J15,"Ki wkład rzeczowy")</f>
        <v>0</v>
      </c>
    </row>
    <row r="23" spans="1:16" x14ac:dyDescent="0.3">
      <c r="C23" s="139"/>
      <c r="D23" s="139"/>
      <c r="E23" s="139"/>
      <c r="F23" s="139"/>
      <c r="G23" s="139"/>
      <c r="H23" s="139"/>
      <c r="I23" s="139"/>
      <c r="J23" s="42"/>
      <c r="N23" s="23" t="s">
        <v>85</v>
      </c>
      <c r="P23" s="23">
        <f>SUMIFS(I6:I16,J6:J16,"Kp pieniężne i wkład rzeczowy")</f>
        <v>8500</v>
      </c>
    </row>
    <row r="24" spans="1:16" x14ac:dyDescent="0.3">
      <c r="C24" s="139"/>
      <c r="D24" s="139"/>
      <c r="E24" s="139"/>
      <c r="F24" s="139"/>
      <c r="G24" s="139"/>
      <c r="H24" s="139"/>
      <c r="I24" s="139"/>
      <c r="J24" s="42"/>
    </row>
    <row r="25" spans="1:16" x14ac:dyDescent="0.3">
      <c r="C25" s="139"/>
      <c r="D25" s="139"/>
      <c r="E25" s="139"/>
      <c r="F25" s="139"/>
      <c r="G25" s="139"/>
      <c r="H25" s="139"/>
      <c r="I25" s="139"/>
      <c r="J25" s="42"/>
    </row>
    <row r="26" spans="1:16" x14ac:dyDescent="0.3">
      <c r="C26" s="139"/>
      <c r="D26" s="139"/>
      <c r="E26" s="139"/>
      <c r="F26" s="139"/>
      <c r="G26" s="139"/>
      <c r="H26" s="139"/>
      <c r="I26" s="139"/>
      <c r="J26" s="42"/>
    </row>
    <row r="27" spans="1:16" x14ac:dyDescent="0.3">
      <c r="C27" s="139"/>
      <c r="D27" s="139"/>
      <c r="E27" s="139"/>
      <c r="F27" s="139"/>
      <c r="G27" s="139"/>
      <c r="H27" s="139"/>
      <c r="I27" s="139"/>
      <c r="J27" s="42"/>
    </row>
    <row r="28" spans="1:16" x14ac:dyDescent="0.3">
      <c r="C28" s="139"/>
      <c r="D28" s="139"/>
      <c r="E28" s="139"/>
      <c r="F28" s="139"/>
      <c r="G28" s="139"/>
      <c r="H28" s="139"/>
      <c r="I28" s="139"/>
      <c r="J28" s="42"/>
      <c r="N28" s="24" t="s">
        <v>58</v>
      </c>
      <c r="O28" s="24">
        <f>P21</f>
        <v>123000</v>
      </c>
    </row>
    <row r="29" spans="1:16" x14ac:dyDescent="0.3">
      <c r="C29" s="139"/>
      <c r="D29" s="139"/>
      <c r="E29" s="139"/>
      <c r="F29" s="139"/>
      <c r="G29" s="139"/>
      <c r="H29" s="139"/>
      <c r="I29" s="139"/>
      <c r="J29" s="42"/>
      <c r="N29" s="38" t="s">
        <v>60</v>
      </c>
      <c r="O29" s="24">
        <f>P21</f>
        <v>123000</v>
      </c>
    </row>
    <row r="30" spans="1:16" x14ac:dyDescent="0.3">
      <c r="C30" s="139"/>
      <c r="D30" s="139"/>
      <c r="E30" s="139"/>
      <c r="F30" s="139"/>
      <c r="G30" s="139"/>
      <c r="H30" s="139"/>
      <c r="I30" s="139"/>
      <c r="J30" s="42"/>
    </row>
    <row r="31" spans="1:16" x14ac:dyDescent="0.3">
      <c r="C31" s="139"/>
      <c r="D31" s="139"/>
      <c r="E31" s="139"/>
      <c r="F31" s="139"/>
      <c r="G31" s="139"/>
      <c r="H31" s="139"/>
      <c r="I31" s="139"/>
      <c r="J31" s="42"/>
    </row>
    <row r="32" spans="1:16" x14ac:dyDescent="0.3">
      <c r="C32" s="23"/>
      <c r="D32" s="23"/>
      <c r="E32" s="23"/>
      <c r="F32" s="23"/>
      <c r="G32" s="23"/>
      <c r="H32" s="23"/>
      <c r="I32" s="126"/>
      <c r="J32" s="42"/>
    </row>
    <row r="33" spans="3:10" x14ac:dyDescent="0.3">
      <c r="C33" s="23"/>
      <c r="D33" s="23"/>
      <c r="E33" s="23"/>
      <c r="F33" s="23"/>
      <c r="G33" s="23"/>
      <c r="H33" s="23"/>
      <c r="I33" s="126"/>
      <c r="J33" s="42" t="str">
        <f t="shared" ref="J33:J38" si="1">IF(I33=suma1,IF(I33&gt;0,"wybierz z listy",""),"")</f>
        <v/>
      </c>
    </row>
    <row r="34" spans="3:10" x14ac:dyDescent="0.3">
      <c r="C34" s="23"/>
      <c r="D34" s="23"/>
      <c r="E34" s="23"/>
      <c r="F34" s="23"/>
      <c r="G34" s="23"/>
      <c r="H34" s="23"/>
      <c r="I34" s="126"/>
      <c r="J34" s="42" t="str">
        <f t="shared" si="1"/>
        <v/>
      </c>
    </row>
    <row r="35" spans="3:10" x14ac:dyDescent="0.3">
      <c r="C35" s="23"/>
      <c r="D35" s="23"/>
      <c r="E35" s="23"/>
      <c r="F35" s="23"/>
      <c r="G35" s="23"/>
      <c r="H35" s="23"/>
      <c r="I35" s="126"/>
      <c r="J35" s="42" t="str">
        <f t="shared" si="1"/>
        <v/>
      </c>
    </row>
    <row r="36" spans="3:10" x14ac:dyDescent="0.3">
      <c r="C36" s="23"/>
      <c r="D36" s="23"/>
      <c r="E36" s="23"/>
      <c r="F36" s="23"/>
      <c r="G36" s="23"/>
      <c r="H36" s="23"/>
      <c r="I36" s="126"/>
      <c r="J36" s="42" t="str">
        <f t="shared" si="1"/>
        <v/>
      </c>
    </row>
    <row r="37" spans="3:10" x14ac:dyDescent="0.3">
      <c r="C37" s="23"/>
      <c r="D37" s="23"/>
      <c r="E37" s="23"/>
      <c r="F37" s="23"/>
      <c r="G37" s="23"/>
      <c r="H37" s="23"/>
      <c r="I37" s="126"/>
      <c r="J37" s="42" t="str">
        <f t="shared" si="1"/>
        <v/>
      </c>
    </row>
    <row r="38" spans="3:10" x14ac:dyDescent="0.3">
      <c r="C38" s="23"/>
      <c r="D38" s="23"/>
      <c r="E38" s="23"/>
      <c r="F38" s="23"/>
      <c r="G38" s="23"/>
      <c r="H38" s="23"/>
      <c r="I38" s="126"/>
      <c r="J38" s="42" t="str">
        <f t="shared" si="1"/>
        <v/>
      </c>
    </row>
  </sheetData>
  <sheetProtection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view="pageBreakPreview" zoomScale="115" zoomScaleNormal="115" zoomScaleSheetLayoutView="115" workbookViewId="0">
      <selection activeCell="E7" sqref="E7"/>
    </sheetView>
  </sheetViews>
  <sheetFormatPr defaultColWidth="9.109375" defaultRowHeight="13.2" x14ac:dyDescent="0.25"/>
  <cols>
    <col min="1" max="1" width="1.33203125" style="62" customWidth="1"/>
    <col min="2" max="2" width="2.88671875" style="23" customWidth="1"/>
    <col min="3" max="3" width="15" style="23" customWidth="1"/>
    <col min="4" max="4" width="12.88671875" style="23" customWidth="1"/>
    <col min="5" max="5" width="10.6640625" style="23" customWidth="1"/>
    <col min="6" max="6" width="10.33203125" style="23" customWidth="1"/>
    <col min="7" max="7" width="7.88671875" style="23" customWidth="1"/>
    <col min="8" max="8" width="13.109375" style="23" customWidth="1"/>
    <col min="9" max="9" width="13.88671875" style="23" customWidth="1"/>
    <col min="10" max="10" width="13.109375" style="23" customWidth="1"/>
    <col min="11" max="11" width="14" style="23" customWidth="1"/>
    <col min="12" max="12" width="1.44140625" style="23" customWidth="1"/>
    <col min="13" max="16384" width="9.109375" style="23"/>
  </cols>
  <sheetData>
    <row r="1" spans="1:12" ht="2.25" customHeight="1" x14ac:dyDescent="0.25"/>
    <row r="2" spans="1:12" ht="17.25" customHeight="1" x14ac:dyDescent="0.25">
      <c r="C2" s="39" t="s">
        <v>39</v>
      </c>
    </row>
    <row r="3" spans="1:12" ht="16.5" customHeight="1" x14ac:dyDescent="0.25">
      <c r="C3" s="80" t="s">
        <v>38</v>
      </c>
      <c r="D3" s="80"/>
      <c r="E3" s="80"/>
      <c r="F3" s="80"/>
      <c r="G3" s="80"/>
      <c r="H3" s="80"/>
      <c r="I3" s="80"/>
      <c r="J3" s="80"/>
      <c r="K3" s="80"/>
    </row>
    <row r="4" spans="1:12" x14ac:dyDescent="0.25">
      <c r="C4" s="90" t="s">
        <v>7</v>
      </c>
      <c r="D4" s="90" t="s">
        <v>0</v>
      </c>
      <c r="E4" s="93" t="s">
        <v>1</v>
      </c>
      <c r="F4" s="93"/>
      <c r="G4" s="93"/>
      <c r="H4" s="93" t="s">
        <v>2</v>
      </c>
      <c r="I4" s="93"/>
      <c r="J4" s="94" t="s">
        <v>3</v>
      </c>
      <c r="K4" s="94"/>
      <c r="L4" s="2"/>
    </row>
    <row r="5" spans="1:12" x14ac:dyDescent="0.25">
      <c r="C5" s="91"/>
      <c r="D5" s="113"/>
      <c r="E5" s="93"/>
      <c r="F5" s="93"/>
      <c r="G5" s="93"/>
      <c r="H5" s="93"/>
      <c r="I5" s="93"/>
      <c r="J5" s="94"/>
      <c r="K5" s="94"/>
      <c r="L5" s="2"/>
    </row>
    <row r="6" spans="1:12" ht="52.8" x14ac:dyDescent="0.25">
      <c r="C6" s="92"/>
      <c r="D6" s="114"/>
      <c r="E6" s="56" t="s">
        <v>4</v>
      </c>
      <c r="F6" s="56" t="s">
        <v>111</v>
      </c>
      <c r="G6" s="56" t="s">
        <v>5</v>
      </c>
      <c r="H6" s="56" t="s">
        <v>6</v>
      </c>
      <c r="I6" s="56" t="s">
        <v>5</v>
      </c>
      <c r="J6" s="60" t="s">
        <v>6</v>
      </c>
      <c r="K6" s="60" t="s">
        <v>5</v>
      </c>
      <c r="L6" s="2"/>
    </row>
    <row r="7" spans="1:12" s="27" customFormat="1" ht="26.4" x14ac:dyDescent="0.25">
      <c r="A7" s="63"/>
      <c r="C7" s="9" t="s">
        <v>109</v>
      </c>
      <c r="D7" s="9" t="s">
        <v>110</v>
      </c>
      <c r="E7" s="9">
        <v>30000</v>
      </c>
      <c r="F7" s="9">
        <v>31000</v>
      </c>
      <c r="G7" s="9">
        <v>24</v>
      </c>
      <c r="H7" s="9">
        <v>35000</v>
      </c>
      <c r="I7" s="9">
        <v>24</v>
      </c>
      <c r="J7" s="67"/>
      <c r="K7" s="67"/>
      <c r="L7" s="10"/>
    </row>
    <row r="8" spans="1:12" s="27" customFormat="1" x14ac:dyDescent="0.25">
      <c r="A8" s="63"/>
      <c r="C8" s="9"/>
      <c r="D8" s="9"/>
      <c r="E8" s="9"/>
      <c r="F8" s="9"/>
      <c r="G8" s="9"/>
      <c r="H8" s="9"/>
      <c r="I8" s="9"/>
      <c r="J8" s="67"/>
      <c r="K8" s="67"/>
      <c r="L8" s="10"/>
    </row>
    <row r="9" spans="1:12" s="27" customFormat="1" x14ac:dyDescent="0.25">
      <c r="A9" s="63"/>
      <c r="C9" s="9"/>
      <c r="D9" s="9"/>
      <c r="E9" s="9"/>
      <c r="F9" s="9"/>
      <c r="G9" s="9"/>
      <c r="H9" s="9"/>
      <c r="I9" s="9"/>
      <c r="J9" s="68"/>
      <c r="K9" s="68"/>
      <c r="L9" s="12"/>
    </row>
    <row r="10" spans="1:12" s="27" customFormat="1" x14ac:dyDescent="0.25">
      <c r="A10" s="63"/>
      <c r="C10" s="9"/>
      <c r="D10" s="9"/>
      <c r="E10" s="9"/>
      <c r="F10" s="9"/>
      <c r="G10" s="9"/>
      <c r="H10" s="9"/>
      <c r="I10" s="9"/>
      <c r="J10" s="68"/>
      <c r="K10" s="68"/>
      <c r="L10" s="12"/>
    </row>
    <row r="11" spans="1:12" s="27" customFormat="1" x14ac:dyDescent="0.25">
      <c r="A11" s="63"/>
      <c r="C11" s="9"/>
      <c r="D11" s="9"/>
      <c r="E11" s="9"/>
      <c r="F11" s="9"/>
      <c r="G11" s="9"/>
      <c r="H11" s="9"/>
      <c r="I11" s="9"/>
      <c r="J11" s="68"/>
      <c r="K11" s="68"/>
      <c r="L11" s="12"/>
    </row>
    <row r="12" spans="1:12" s="27" customFormat="1" x14ac:dyDescent="0.25">
      <c r="A12" s="63"/>
      <c r="C12" s="9"/>
      <c r="D12" s="9"/>
      <c r="E12" s="9"/>
      <c r="F12" s="9"/>
      <c r="G12" s="9"/>
      <c r="H12" s="9"/>
      <c r="I12" s="9"/>
      <c r="J12" s="68"/>
      <c r="K12" s="68"/>
      <c r="L12" s="12"/>
    </row>
    <row r="13" spans="1:12" s="27" customFormat="1" x14ac:dyDescent="0.25">
      <c r="A13" s="63"/>
      <c r="C13" s="9"/>
      <c r="D13" s="9"/>
      <c r="E13" s="9"/>
      <c r="F13" s="9"/>
      <c r="G13" s="9"/>
      <c r="H13" s="9"/>
      <c r="I13" s="9"/>
      <c r="J13" s="68"/>
      <c r="K13" s="68"/>
      <c r="L13" s="12"/>
    </row>
    <row r="14" spans="1:12" s="27" customFormat="1" x14ac:dyDescent="0.25">
      <c r="A14" s="63"/>
      <c r="C14" s="95" t="s">
        <v>87</v>
      </c>
      <c r="D14" s="96"/>
      <c r="E14" s="58"/>
      <c r="F14" s="58"/>
      <c r="G14" s="66">
        <f>SUM(G7:G13)</f>
        <v>24</v>
      </c>
      <c r="H14" s="58"/>
      <c r="I14" s="66">
        <f>SUM(I7:I13)</f>
        <v>24</v>
      </c>
      <c r="J14" s="59"/>
      <c r="K14" s="59"/>
      <c r="L14" s="12"/>
    </row>
    <row r="15" spans="1:12" s="27" customFormat="1" ht="23.25" customHeight="1" x14ac:dyDescent="0.25">
      <c r="A15" s="63"/>
      <c r="C15" s="97" t="s">
        <v>88</v>
      </c>
      <c r="D15" s="98"/>
      <c r="E15" s="101" t="str">
        <f ca="1">TEXT('NPV + wsk_rent'!D6,0) &amp;" = A"</f>
        <v>720000 = A</v>
      </c>
      <c r="F15" s="102"/>
      <c r="G15" s="103"/>
      <c r="H15" s="104" t="str">
        <f ca="1">TEXT('NPV + wsk_rent'!E6,0) &amp;" = B"</f>
        <v>840000 = B</v>
      </c>
      <c r="I15" s="105"/>
      <c r="J15" s="111" t="str">
        <f>TEXT('NPV + wsk_rent'!F6,0) &amp;" = C"</f>
        <v>0 = C</v>
      </c>
      <c r="K15" s="112"/>
      <c r="L15" s="12"/>
    </row>
    <row r="16" spans="1:12" s="27" customFormat="1" x14ac:dyDescent="0.25">
      <c r="A16" s="63"/>
      <c r="C16" s="99" t="s">
        <v>89</v>
      </c>
      <c r="D16" s="100"/>
      <c r="E16" s="109">
        <f ca="1">SUM('NPV + wsk_rent'!D6:F6)</f>
        <v>1560000</v>
      </c>
      <c r="F16" s="110"/>
      <c r="G16" s="110"/>
      <c r="H16" s="110"/>
      <c r="I16" s="110"/>
      <c r="J16" s="110"/>
      <c r="K16" s="105"/>
      <c r="L16" s="12"/>
    </row>
    <row r="17" spans="1:11" x14ac:dyDescent="0.25">
      <c r="A17" s="63"/>
      <c r="B17" s="27"/>
    </row>
    <row r="18" spans="1:11" ht="51.75" customHeight="1" x14ac:dyDescent="0.25">
      <c r="C18" s="106" t="s">
        <v>40</v>
      </c>
      <c r="D18" s="107"/>
      <c r="E18" s="107"/>
      <c r="F18" s="107"/>
      <c r="G18" s="107"/>
      <c r="H18" s="107"/>
      <c r="I18" s="107"/>
      <c r="J18" s="107"/>
      <c r="K18" s="108"/>
    </row>
    <row r="19" spans="1:11" x14ac:dyDescent="0.25">
      <c r="C19" s="81" t="s">
        <v>112</v>
      </c>
      <c r="D19" s="82"/>
      <c r="E19" s="82"/>
      <c r="F19" s="82"/>
      <c r="G19" s="82"/>
      <c r="H19" s="82"/>
      <c r="I19" s="82"/>
      <c r="J19" s="82"/>
      <c r="K19" s="83"/>
    </row>
    <row r="20" spans="1:11" ht="25.5" customHeight="1" x14ac:dyDescent="0.25">
      <c r="C20" s="84"/>
      <c r="D20" s="85"/>
      <c r="E20" s="85"/>
      <c r="F20" s="85"/>
      <c r="G20" s="85"/>
      <c r="H20" s="85"/>
      <c r="I20" s="85"/>
      <c r="J20" s="85"/>
      <c r="K20" s="86"/>
    </row>
    <row r="21" spans="1:11" x14ac:dyDescent="0.25">
      <c r="C21" s="84"/>
      <c r="D21" s="85"/>
      <c r="E21" s="85"/>
      <c r="F21" s="85"/>
      <c r="G21" s="85"/>
      <c r="H21" s="85"/>
      <c r="I21" s="85"/>
      <c r="J21" s="85"/>
      <c r="K21" s="86"/>
    </row>
    <row r="22" spans="1:11" x14ac:dyDescent="0.25">
      <c r="C22" s="84"/>
      <c r="D22" s="85"/>
      <c r="E22" s="85"/>
      <c r="F22" s="85"/>
      <c r="G22" s="85"/>
      <c r="H22" s="85"/>
      <c r="I22" s="85"/>
      <c r="J22" s="85"/>
      <c r="K22" s="86"/>
    </row>
    <row r="23" spans="1:11" x14ac:dyDescent="0.25">
      <c r="C23" s="84"/>
      <c r="D23" s="85"/>
      <c r="E23" s="85"/>
      <c r="F23" s="85"/>
      <c r="G23" s="85"/>
      <c r="H23" s="85"/>
      <c r="I23" s="85"/>
      <c r="J23" s="85"/>
      <c r="K23" s="86"/>
    </row>
    <row r="24" spans="1:11" x14ac:dyDescent="0.25">
      <c r="C24" s="84"/>
      <c r="D24" s="85"/>
      <c r="E24" s="85"/>
      <c r="F24" s="85"/>
      <c r="G24" s="85"/>
      <c r="H24" s="85"/>
      <c r="I24" s="85"/>
      <c r="J24" s="85"/>
      <c r="K24" s="86"/>
    </row>
    <row r="25" spans="1:11" x14ac:dyDescent="0.25">
      <c r="C25" s="84"/>
      <c r="D25" s="85"/>
      <c r="E25" s="85"/>
      <c r="F25" s="85"/>
      <c r="G25" s="85"/>
      <c r="H25" s="85"/>
      <c r="I25" s="85"/>
      <c r="J25" s="85"/>
      <c r="K25" s="86"/>
    </row>
    <row r="26" spans="1:11" x14ac:dyDescent="0.25">
      <c r="C26" s="84"/>
      <c r="D26" s="85"/>
      <c r="E26" s="85"/>
      <c r="F26" s="85"/>
      <c r="G26" s="85"/>
      <c r="H26" s="85"/>
      <c r="I26" s="85"/>
      <c r="J26" s="85"/>
      <c r="K26" s="86"/>
    </row>
    <row r="27" spans="1:11" x14ac:dyDescent="0.25">
      <c r="C27" s="84"/>
      <c r="D27" s="85"/>
      <c r="E27" s="85"/>
      <c r="F27" s="85"/>
      <c r="G27" s="85"/>
      <c r="H27" s="85"/>
      <c r="I27" s="85"/>
      <c r="J27" s="85"/>
      <c r="K27" s="86"/>
    </row>
    <row r="28" spans="1:11" x14ac:dyDescent="0.25">
      <c r="C28" s="87"/>
      <c r="D28" s="88"/>
      <c r="E28" s="88"/>
      <c r="F28" s="88"/>
      <c r="G28" s="88"/>
      <c r="H28" s="88"/>
      <c r="I28" s="88"/>
      <c r="J28" s="88"/>
      <c r="K28" s="89"/>
    </row>
  </sheetData>
  <sheetProtection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view="pageBreakPreview" topLeftCell="A13" zoomScale="115" zoomScaleNormal="100" zoomScaleSheetLayoutView="115" workbookViewId="0">
      <selection activeCell="C29" sqref="C29"/>
    </sheetView>
  </sheetViews>
  <sheetFormatPr defaultColWidth="9.109375" defaultRowHeight="14.4" x14ac:dyDescent="0.3"/>
  <cols>
    <col min="1" max="1" width="1.44140625" style="11" customWidth="1"/>
    <col min="2" max="2" width="46.88671875" style="11" customWidth="1"/>
    <col min="3" max="4" width="9.88671875" style="11" bestFit="1" customWidth="1"/>
    <col min="5" max="5" width="11.5546875" style="11" customWidth="1"/>
    <col min="6" max="6" width="9.109375" style="11"/>
    <col min="7" max="7" width="1.5546875" style="11" customWidth="1"/>
    <col min="8" max="8" width="9.109375" style="11"/>
    <col min="9" max="9" width="42.33203125" style="11" bestFit="1" customWidth="1"/>
    <col min="10" max="10" width="10.21875" style="11" bestFit="1" customWidth="1"/>
    <col min="11" max="16384" width="9.109375" style="11"/>
  </cols>
  <sheetData>
    <row r="1" spans="2:12" ht="6" customHeight="1" x14ac:dyDescent="0.3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2:12" ht="16.5" customHeight="1" x14ac:dyDescent="0.3">
      <c r="B2" s="29" t="s">
        <v>37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2:12" ht="34.5" customHeight="1" x14ac:dyDescent="0.3">
      <c r="B3" s="116" t="s">
        <v>8</v>
      </c>
      <c r="C3" s="116"/>
      <c r="D3" s="116"/>
      <c r="E3" s="116"/>
      <c r="F3" s="116"/>
      <c r="G3" s="27"/>
      <c r="H3" s="27"/>
      <c r="I3" s="27"/>
      <c r="J3" s="27"/>
      <c r="K3" s="27"/>
      <c r="L3" s="27"/>
    </row>
    <row r="4" spans="2:12" x14ac:dyDescent="0.3">
      <c r="B4" s="30" t="s">
        <v>9</v>
      </c>
      <c r="C4" s="31" t="s">
        <v>10</v>
      </c>
      <c r="D4" s="31" t="s">
        <v>11</v>
      </c>
      <c r="E4" s="31" t="s">
        <v>12</v>
      </c>
      <c r="F4" s="31" t="s">
        <v>3</v>
      </c>
      <c r="G4" s="27"/>
      <c r="H4" s="27"/>
      <c r="I4" s="27"/>
      <c r="J4" s="27"/>
      <c r="K4" s="27"/>
      <c r="L4" s="27"/>
    </row>
    <row r="5" spans="2:12" x14ac:dyDescent="0.3">
      <c r="B5" s="33" t="s">
        <v>64</v>
      </c>
      <c r="C5" s="32"/>
      <c r="D5" s="32"/>
      <c r="E5" s="32"/>
      <c r="F5" s="32"/>
      <c r="G5" s="27"/>
      <c r="H5" s="27"/>
      <c r="I5" s="27"/>
      <c r="J5" s="27"/>
      <c r="K5" s="27"/>
      <c r="L5" s="27"/>
    </row>
    <row r="6" spans="2:12" ht="26.4" x14ac:dyDescent="0.3">
      <c r="B6" s="34" t="s">
        <v>65</v>
      </c>
      <c r="C6" s="44">
        <f>12*30000</f>
        <v>360000</v>
      </c>
      <c r="D6" s="45">
        <f ca="1">'NPV + wsk_rent'!D6</f>
        <v>720000</v>
      </c>
      <c r="E6" s="45">
        <f ca="1">'NPV + wsk_rent'!E6</f>
        <v>840000</v>
      </c>
      <c r="F6" s="15"/>
      <c r="G6" s="27"/>
      <c r="H6" s="27"/>
      <c r="I6" s="27"/>
      <c r="J6" s="27"/>
      <c r="K6" s="27"/>
      <c r="L6" s="27"/>
    </row>
    <row r="7" spans="2:12" x14ac:dyDescent="0.3">
      <c r="B7" s="30" t="s">
        <v>66</v>
      </c>
      <c r="C7" s="46"/>
      <c r="D7" s="46"/>
      <c r="E7" s="46"/>
      <c r="F7" s="15"/>
      <c r="G7" s="27"/>
      <c r="H7" s="27"/>
      <c r="I7" s="27"/>
      <c r="J7" s="27"/>
      <c r="K7" s="27"/>
      <c r="L7" s="27"/>
    </row>
    <row r="8" spans="2:12" x14ac:dyDescent="0.3">
      <c r="B8" s="9" t="s">
        <v>102</v>
      </c>
      <c r="C8" s="44">
        <f>C22</f>
        <v>27725</v>
      </c>
      <c r="D8" s="44">
        <f>D22</f>
        <v>27725</v>
      </c>
      <c r="E8" s="44">
        <f>E22</f>
        <v>27725</v>
      </c>
      <c r="F8" s="15"/>
      <c r="G8" s="27"/>
      <c r="H8" s="27"/>
      <c r="I8" s="27"/>
      <c r="J8" s="27"/>
      <c r="K8" s="27"/>
      <c r="L8" s="27"/>
    </row>
    <row r="9" spans="2:12" x14ac:dyDescent="0.3">
      <c r="B9" s="9"/>
      <c r="C9" s="44"/>
      <c r="D9" s="44"/>
      <c r="E9" s="44"/>
      <c r="F9" s="15"/>
      <c r="G9" s="27"/>
      <c r="H9" s="27"/>
      <c r="I9" s="27"/>
      <c r="J9" s="27"/>
      <c r="K9" s="27"/>
      <c r="L9" s="27"/>
    </row>
    <row r="10" spans="2:12" x14ac:dyDescent="0.3">
      <c r="B10" s="35" t="s">
        <v>13</v>
      </c>
      <c r="C10" s="45">
        <f>C6+C8+C9</f>
        <v>387725</v>
      </c>
      <c r="D10" s="45">
        <f t="shared" ref="D10:E10" ca="1" si="0">D6+D8+D9</f>
        <v>747725</v>
      </c>
      <c r="E10" s="45">
        <f t="shared" ca="1" si="0"/>
        <v>867725</v>
      </c>
      <c r="F10" s="15"/>
      <c r="G10" s="27"/>
      <c r="H10" s="27"/>
      <c r="I10" s="27"/>
      <c r="J10" s="27"/>
      <c r="K10" s="27"/>
      <c r="L10" s="27"/>
    </row>
    <row r="11" spans="2:12" x14ac:dyDescent="0.3">
      <c r="B11" s="35" t="s">
        <v>67</v>
      </c>
      <c r="C11" s="32"/>
      <c r="D11" s="32"/>
      <c r="E11" s="32"/>
      <c r="F11" s="15"/>
      <c r="G11" s="27"/>
      <c r="H11" s="27"/>
      <c r="I11" s="27"/>
      <c r="J11" s="27"/>
      <c r="K11" s="27"/>
      <c r="L11" s="27"/>
    </row>
    <row r="12" spans="2:12" x14ac:dyDescent="0.3">
      <c r="B12" s="34" t="s">
        <v>68</v>
      </c>
      <c r="C12" s="8">
        <f>(250+400)*12</f>
        <v>7800</v>
      </c>
      <c r="D12" s="8">
        <f>C12+(0.1*C12)</f>
        <v>8580</v>
      </c>
      <c r="E12" s="8">
        <f>D12+(0.1*D12)</f>
        <v>9438</v>
      </c>
      <c r="F12" s="15"/>
      <c r="G12" s="27"/>
      <c r="H12" s="27"/>
      <c r="I12" s="27"/>
      <c r="J12" s="27"/>
      <c r="K12" s="27"/>
      <c r="L12" s="27"/>
    </row>
    <row r="13" spans="2:12" ht="26.4" x14ac:dyDescent="0.3">
      <c r="B13" s="34" t="s">
        <v>69</v>
      </c>
      <c r="C13" s="8">
        <f>(12*200)+120</f>
        <v>2520</v>
      </c>
      <c r="D13" s="8">
        <f>C13+(0.15*C13)</f>
        <v>2898</v>
      </c>
      <c r="E13" s="8">
        <f>D13+(0.15*D13)</f>
        <v>3332.7</v>
      </c>
      <c r="F13" s="15"/>
      <c r="G13" s="27"/>
      <c r="H13" s="27"/>
      <c r="I13" s="27"/>
      <c r="J13" s="27"/>
      <c r="K13" s="27"/>
      <c r="L13" s="27"/>
    </row>
    <row r="14" spans="2:12" x14ac:dyDescent="0.3">
      <c r="B14" s="34" t="s">
        <v>70</v>
      </c>
      <c r="C14" s="8">
        <f>10*11.62</f>
        <v>116.19999999999999</v>
      </c>
      <c r="D14" s="8">
        <f>C14+(0.1*C14)</f>
        <v>127.82</v>
      </c>
      <c r="E14" s="8">
        <f>D14+(0.1*D14)</f>
        <v>140.602</v>
      </c>
      <c r="F14" s="15"/>
      <c r="G14" s="27"/>
      <c r="H14" s="27" t="s">
        <v>100</v>
      </c>
      <c r="I14" s="27"/>
      <c r="J14" s="27"/>
      <c r="K14" s="27"/>
      <c r="L14" s="27"/>
    </row>
    <row r="15" spans="2:12" x14ac:dyDescent="0.3">
      <c r="B15" s="34" t="s">
        <v>71</v>
      </c>
      <c r="C15" s="8">
        <f>750*12</f>
        <v>9000</v>
      </c>
      <c r="D15" s="8">
        <f>C15+(0.1*C15)</f>
        <v>9900</v>
      </c>
      <c r="E15" s="8">
        <f>(1.1*D15)*2</f>
        <v>21780</v>
      </c>
      <c r="F15" s="15"/>
      <c r="G15" s="27"/>
      <c r="H15" s="27" t="s">
        <v>101</v>
      </c>
      <c r="I15" s="27"/>
      <c r="J15" s="27"/>
      <c r="K15" s="27"/>
      <c r="L15" s="27"/>
    </row>
    <row r="16" spans="2:12" x14ac:dyDescent="0.3">
      <c r="B16" s="34" t="s">
        <v>72</v>
      </c>
      <c r="C16" s="8">
        <f>12*50</f>
        <v>600</v>
      </c>
      <c r="D16" s="8">
        <f>C16</f>
        <v>600</v>
      </c>
      <c r="E16" s="8">
        <f>D16</f>
        <v>600</v>
      </c>
      <c r="F16" s="15"/>
      <c r="G16" s="27"/>
      <c r="H16" s="27"/>
      <c r="I16" s="27"/>
      <c r="J16" s="27"/>
      <c r="K16" s="27"/>
      <c r="L16" s="27"/>
    </row>
    <row r="17" spans="2:13" x14ac:dyDescent="0.3">
      <c r="B17" s="34" t="s">
        <v>73</v>
      </c>
      <c r="C17" s="8">
        <v>0</v>
      </c>
      <c r="D17" s="8">
        <v>0</v>
      </c>
      <c r="E17" s="8">
        <v>0</v>
      </c>
      <c r="F17" s="15"/>
      <c r="G17" s="27"/>
      <c r="H17" s="27"/>
      <c r="I17" s="27"/>
      <c r="J17" s="27"/>
      <c r="K17" s="27"/>
      <c r="L17" s="27"/>
    </row>
    <row r="18" spans="2:13" x14ac:dyDescent="0.3">
      <c r="B18" s="34" t="s">
        <v>74</v>
      </c>
      <c r="C18" s="8">
        <f>3500</f>
        <v>3500</v>
      </c>
      <c r="D18" s="8">
        <f>C18*1.2</f>
        <v>4200</v>
      </c>
      <c r="E18" s="8">
        <f>D18*1.2</f>
        <v>5040</v>
      </c>
      <c r="F18" s="15"/>
      <c r="G18" s="27"/>
      <c r="H18" s="27"/>
      <c r="I18" s="118" t="s">
        <v>90</v>
      </c>
      <c r="J18" s="118"/>
      <c r="K18" s="118"/>
      <c r="L18" s="118"/>
    </row>
    <row r="19" spans="2:13" x14ac:dyDescent="0.3">
      <c r="B19" s="34" t="s">
        <v>75</v>
      </c>
      <c r="C19" s="32"/>
      <c r="D19" s="32"/>
      <c r="E19" s="32"/>
      <c r="F19" s="15"/>
      <c r="G19" s="27"/>
      <c r="H19" s="27"/>
      <c r="I19" s="37"/>
      <c r="J19" s="31" t="s">
        <v>10</v>
      </c>
      <c r="K19" s="31" t="s">
        <v>11</v>
      </c>
      <c r="L19" s="31" t="s">
        <v>12</v>
      </c>
    </row>
    <row r="20" spans="2:13" x14ac:dyDescent="0.3">
      <c r="B20" s="28" t="s">
        <v>103</v>
      </c>
      <c r="C20" s="47">
        <f>1500*12*2</f>
        <v>36000</v>
      </c>
      <c r="D20" s="47">
        <f>C20</f>
        <v>36000</v>
      </c>
      <c r="E20" s="47">
        <f>D20</f>
        <v>36000</v>
      </c>
      <c r="F20" s="15"/>
      <c r="G20" s="27"/>
      <c r="H20" s="27"/>
      <c r="I20" s="37" t="s">
        <v>86</v>
      </c>
      <c r="J20" s="145">
        <f>Zakres!M10</f>
        <v>27725</v>
      </c>
      <c r="K20" s="25"/>
      <c r="L20" s="25"/>
      <c r="M20" s="16"/>
    </row>
    <row r="21" spans="2:13" x14ac:dyDescent="0.3">
      <c r="B21" s="40" t="s">
        <v>104</v>
      </c>
      <c r="C21" s="47">
        <f>1000*2*12</f>
        <v>24000</v>
      </c>
      <c r="D21" s="47">
        <f>C21</f>
        <v>24000</v>
      </c>
      <c r="E21" s="47">
        <f>D21</f>
        <v>24000</v>
      </c>
      <c r="F21" s="15"/>
      <c r="G21" s="27"/>
      <c r="H21" s="27"/>
      <c r="I21" s="37" t="s">
        <v>80</v>
      </c>
      <c r="J21" s="25"/>
      <c r="K21" s="25"/>
      <c r="L21" s="25"/>
    </row>
    <row r="22" spans="2:13" x14ac:dyDescent="0.3">
      <c r="B22" s="26" t="s">
        <v>105</v>
      </c>
      <c r="C22" s="44">
        <f>Zakres!M10</f>
        <v>27725</v>
      </c>
      <c r="D22" s="44">
        <f>Zakres!M10</f>
        <v>27725</v>
      </c>
      <c r="E22" s="44">
        <f>Zakres!M10</f>
        <v>27725</v>
      </c>
      <c r="F22" s="15"/>
      <c r="G22" s="27"/>
      <c r="H22" s="27"/>
      <c r="I22" s="27"/>
      <c r="J22" s="27"/>
      <c r="K22" s="27"/>
      <c r="L22" s="27"/>
    </row>
    <row r="23" spans="2:13" x14ac:dyDescent="0.3">
      <c r="B23" s="26"/>
      <c r="C23" s="44"/>
      <c r="D23" s="44"/>
      <c r="E23" s="44"/>
      <c r="F23" s="15"/>
      <c r="G23" s="27"/>
      <c r="H23" s="27"/>
      <c r="I23" s="27"/>
      <c r="J23" s="27"/>
      <c r="K23" s="27"/>
      <c r="L23" s="27"/>
    </row>
    <row r="24" spans="2:13" x14ac:dyDescent="0.3">
      <c r="B24" s="26"/>
      <c r="C24" s="44"/>
      <c r="D24" s="44"/>
      <c r="E24" s="44"/>
      <c r="F24" s="15"/>
      <c r="G24" s="27"/>
      <c r="H24" s="27"/>
      <c r="I24" s="27"/>
      <c r="J24" s="27"/>
      <c r="K24" s="27"/>
      <c r="L24" s="27"/>
    </row>
    <row r="25" spans="2:13" x14ac:dyDescent="0.3">
      <c r="B25" s="26"/>
      <c r="C25" s="48"/>
      <c r="D25" s="48"/>
      <c r="E25" s="48"/>
      <c r="F25" s="36"/>
      <c r="G25" s="27"/>
      <c r="H25" s="27"/>
      <c r="I25" s="27"/>
      <c r="J25" s="27"/>
      <c r="K25" s="27"/>
      <c r="L25" s="27"/>
    </row>
    <row r="26" spans="2:13" x14ac:dyDescent="0.3">
      <c r="B26" s="26"/>
      <c r="C26" s="48"/>
      <c r="D26" s="48"/>
      <c r="E26" s="48"/>
      <c r="F26" s="36"/>
      <c r="G26" s="27"/>
      <c r="H26" s="27"/>
      <c r="I26" s="27"/>
      <c r="J26" s="27"/>
      <c r="K26" s="27"/>
      <c r="L26" s="27"/>
    </row>
    <row r="27" spans="2:13" x14ac:dyDescent="0.3">
      <c r="B27" s="9"/>
      <c r="C27" s="44"/>
      <c r="D27" s="44"/>
      <c r="E27" s="44"/>
      <c r="F27" s="15"/>
      <c r="G27" s="27"/>
      <c r="H27" s="27"/>
      <c r="I27" s="27"/>
      <c r="J27" s="27"/>
      <c r="K27" s="27"/>
      <c r="L27" s="27"/>
    </row>
    <row r="28" spans="2:13" x14ac:dyDescent="0.3">
      <c r="B28" s="9"/>
      <c r="C28" s="44"/>
      <c r="D28" s="44"/>
      <c r="E28" s="44"/>
      <c r="F28" s="15"/>
      <c r="G28" s="27"/>
      <c r="H28" s="27"/>
      <c r="I28" s="27"/>
      <c r="J28" s="27"/>
      <c r="K28" s="27"/>
      <c r="L28" s="27"/>
    </row>
    <row r="29" spans="2:13" x14ac:dyDescent="0.3">
      <c r="B29" s="35" t="s">
        <v>14</v>
      </c>
      <c r="C29" s="45">
        <f>SUM(C12:C18)+SUM(C20:C28)</f>
        <v>111261.2</v>
      </c>
      <c r="D29" s="45">
        <f>SUM(D12:D18)+SUM(D20:D28)</f>
        <v>114030.82</v>
      </c>
      <c r="E29" s="45">
        <f>SUM(E12:E18)+SUM(E20:E28)</f>
        <v>128056.302</v>
      </c>
      <c r="F29" s="15"/>
      <c r="G29" s="27"/>
      <c r="H29" s="27"/>
      <c r="I29" s="27"/>
      <c r="J29" s="27"/>
      <c r="K29" s="27"/>
      <c r="L29" s="27"/>
    </row>
    <row r="30" spans="2:13" x14ac:dyDescent="0.3">
      <c r="B30" s="35" t="s">
        <v>76</v>
      </c>
      <c r="C30" s="45">
        <f>C10-C29</f>
        <v>276463.8</v>
      </c>
      <c r="D30" s="45">
        <f ca="1">D10-D29</f>
        <v>633694.17999999993</v>
      </c>
      <c r="E30" s="45">
        <f ca="1">E10-E29</f>
        <v>739668.69799999997</v>
      </c>
      <c r="F30" s="15"/>
      <c r="G30" s="27"/>
      <c r="H30" s="27"/>
      <c r="I30" s="27"/>
      <c r="J30" s="27"/>
      <c r="K30" s="27"/>
      <c r="L30" s="27"/>
    </row>
    <row r="31" spans="2:13" x14ac:dyDescent="0.3">
      <c r="B31" s="35" t="s">
        <v>77</v>
      </c>
      <c r="C31" s="44">
        <f>(C30-85528)*0.32+((85528-30000)*0.17)</f>
        <v>70539.216</v>
      </c>
      <c r="D31" s="44">
        <f ca="1">(D30-85528)*0.32+((85528-30000)*0.17)</f>
        <v>184852.9376</v>
      </c>
      <c r="E31" s="44">
        <f ca="1">(E30-85528)*0.32+((85528-30000)*0.17)</f>
        <v>218764.78336</v>
      </c>
      <c r="F31" s="15"/>
      <c r="G31" s="27"/>
      <c r="H31" s="27"/>
      <c r="I31" s="27"/>
      <c r="J31" s="27"/>
      <c r="K31" s="27"/>
      <c r="L31" s="27"/>
    </row>
    <row r="32" spans="2:13" x14ac:dyDescent="0.3">
      <c r="B32" s="35" t="s">
        <v>78</v>
      </c>
      <c r="C32" s="45">
        <f>C30-C31</f>
        <v>205924.58399999997</v>
      </c>
      <c r="D32" s="45">
        <f t="shared" ref="D32:E32" ca="1" si="1">D30-D31</f>
        <v>448841.24239999993</v>
      </c>
      <c r="E32" s="45">
        <f t="shared" ca="1" si="1"/>
        <v>520903.91463999997</v>
      </c>
      <c r="F32" s="15"/>
      <c r="G32" s="27"/>
      <c r="H32" s="27"/>
      <c r="I32" s="27"/>
      <c r="J32" s="27"/>
      <c r="K32" s="27"/>
      <c r="L32" s="27"/>
    </row>
    <row r="33" spans="2:12" x14ac:dyDescent="0.3">
      <c r="B33" s="117" t="s">
        <v>15</v>
      </c>
      <c r="C33" s="117"/>
      <c r="D33" s="117"/>
      <c r="E33" s="117"/>
      <c r="F33" s="117"/>
      <c r="G33" s="27"/>
      <c r="H33" s="27"/>
      <c r="I33" s="27"/>
      <c r="J33" s="27"/>
      <c r="K33" s="27"/>
      <c r="L33" s="27"/>
    </row>
    <row r="34" spans="2:12" x14ac:dyDescent="0.3">
      <c r="B34" s="115" t="s">
        <v>114</v>
      </c>
      <c r="C34" s="115"/>
      <c r="D34" s="115"/>
      <c r="E34" s="115"/>
      <c r="F34" s="115"/>
      <c r="G34" s="27"/>
      <c r="H34" s="27"/>
      <c r="I34" s="27"/>
      <c r="J34" s="27"/>
      <c r="K34" s="27"/>
      <c r="L34" s="27"/>
    </row>
    <row r="35" spans="2:12" x14ac:dyDescent="0.3">
      <c r="B35" s="115"/>
      <c r="C35" s="115"/>
      <c r="D35" s="115"/>
      <c r="E35" s="115"/>
      <c r="F35" s="115"/>
      <c r="G35" s="27"/>
      <c r="H35" s="27"/>
      <c r="I35" s="27"/>
      <c r="J35" s="27"/>
      <c r="K35" s="27"/>
      <c r="L35" s="27"/>
    </row>
    <row r="36" spans="2:12" x14ac:dyDescent="0.3">
      <c r="B36" s="115"/>
      <c r="C36" s="115"/>
      <c r="D36" s="115"/>
      <c r="E36" s="115"/>
      <c r="F36" s="115"/>
      <c r="G36" s="27"/>
      <c r="H36" s="27"/>
      <c r="I36" s="27"/>
      <c r="J36" s="27"/>
      <c r="K36" s="27"/>
      <c r="L36" s="27"/>
    </row>
    <row r="37" spans="2:12" x14ac:dyDescent="0.3">
      <c r="B37" s="115"/>
      <c r="C37" s="115"/>
      <c r="D37" s="115"/>
      <c r="E37" s="115"/>
      <c r="F37" s="115"/>
      <c r="G37" s="27"/>
      <c r="H37" s="27"/>
      <c r="I37" s="27"/>
      <c r="J37" s="27"/>
      <c r="K37" s="27"/>
      <c r="L37" s="27"/>
    </row>
    <row r="38" spans="2:12" x14ac:dyDescent="0.3">
      <c r="B38" s="115"/>
      <c r="C38" s="115"/>
      <c r="D38" s="115"/>
      <c r="E38" s="115"/>
      <c r="F38" s="115"/>
      <c r="G38" s="27"/>
      <c r="H38" s="27"/>
      <c r="I38" s="27"/>
      <c r="J38" s="27"/>
      <c r="K38" s="27"/>
      <c r="L38" s="27"/>
    </row>
    <row r="39" spans="2:12" x14ac:dyDescent="0.3">
      <c r="B39" s="115"/>
      <c r="C39" s="115"/>
      <c r="D39" s="115"/>
      <c r="E39" s="115"/>
      <c r="F39" s="115"/>
      <c r="G39" s="27"/>
      <c r="H39" s="27"/>
      <c r="I39" s="27"/>
      <c r="J39" s="27"/>
      <c r="K39" s="27"/>
      <c r="L39" s="27"/>
    </row>
    <row r="40" spans="2:12" x14ac:dyDescent="0.3">
      <c r="B40" s="115"/>
      <c r="C40" s="115"/>
      <c r="D40" s="115"/>
      <c r="E40" s="115"/>
      <c r="F40" s="115"/>
      <c r="G40" s="27"/>
      <c r="H40" s="27"/>
      <c r="I40" s="27"/>
      <c r="J40" s="27"/>
      <c r="K40" s="27"/>
      <c r="L40" s="27"/>
    </row>
    <row r="41" spans="2:12" x14ac:dyDescent="0.3">
      <c r="B41" s="115"/>
      <c r="C41" s="115"/>
      <c r="D41" s="115"/>
      <c r="E41" s="115"/>
      <c r="F41" s="115"/>
      <c r="G41" s="27"/>
      <c r="H41" s="27"/>
      <c r="I41" s="27"/>
      <c r="J41" s="27"/>
      <c r="K41" s="27"/>
      <c r="L41" s="27"/>
    </row>
    <row r="42" spans="2:12" x14ac:dyDescent="0.3">
      <c r="B42" s="115"/>
      <c r="C42" s="115"/>
      <c r="D42" s="115"/>
      <c r="E42" s="115"/>
      <c r="F42" s="115"/>
      <c r="G42" s="27"/>
      <c r="H42" s="27"/>
      <c r="I42" s="27"/>
      <c r="J42" s="27"/>
      <c r="K42" s="27"/>
      <c r="L42" s="27"/>
    </row>
    <row r="43" spans="2:12" x14ac:dyDescent="0.3">
      <c r="B43" s="115"/>
      <c r="C43" s="115"/>
      <c r="D43" s="115"/>
      <c r="E43" s="115"/>
      <c r="F43" s="115"/>
      <c r="G43" s="27"/>
      <c r="H43" s="27"/>
      <c r="I43" s="27"/>
      <c r="J43" s="27"/>
      <c r="K43" s="27"/>
      <c r="L43" s="27"/>
    </row>
    <row r="44" spans="2:12" ht="65.400000000000006" customHeight="1" x14ac:dyDescent="0.3">
      <c r="B44" s="115"/>
      <c r="C44" s="115"/>
      <c r="D44" s="115"/>
      <c r="E44" s="115"/>
      <c r="F44" s="115"/>
      <c r="G44" s="27"/>
      <c r="H44" s="27"/>
      <c r="I44" s="27"/>
      <c r="J44" s="27"/>
      <c r="K44" s="27"/>
      <c r="L44" s="27"/>
    </row>
    <row r="45" spans="2:12" x14ac:dyDescent="0.3">
      <c r="B45" s="115"/>
      <c r="C45" s="115"/>
      <c r="D45" s="115"/>
      <c r="E45" s="115"/>
      <c r="F45" s="115"/>
      <c r="G45" s="27"/>
      <c r="H45" s="27"/>
      <c r="I45" s="27"/>
      <c r="J45" s="27"/>
      <c r="K45" s="27"/>
      <c r="L45" s="27"/>
    </row>
    <row r="46" spans="2:12" x14ac:dyDescent="0.3">
      <c r="B46" s="115"/>
      <c r="C46" s="115"/>
      <c r="D46" s="115"/>
      <c r="E46" s="115"/>
      <c r="F46" s="115"/>
      <c r="G46" s="27"/>
      <c r="H46" s="27"/>
      <c r="I46" s="27"/>
      <c r="J46" s="27"/>
      <c r="K46" s="27"/>
      <c r="L46" s="27"/>
    </row>
    <row r="47" spans="2:12" ht="28.8" customHeight="1" x14ac:dyDescent="0.3">
      <c r="B47" s="115"/>
      <c r="C47" s="115"/>
      <c r="D47" s="115"/>
      <c r="E47" s="115"/>
      <c r="F47" s="115"/>
      <c r="G47" s="27"/>
      <c r="H47" s="27"/>
      <c r="I47" s="27"/>
      <c r="J47" s="27"/>
      <c r="K47" s="27"/>
      <c r="L47" s="27"/>
    </row>
    <row r="48" spans="2:12" ht="8.25" customHeight="1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</sheetData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F20"/>
    <dataValidation allowBlank="1" showInputMessage="1" showErrorMessage="1" prompt="Wiersz wypełniany automatycznie na podstawie Tabeli pomocniczej nr. 3_x000a__x000a_" sqref="B20:E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view="pageBreakPreview" zoomScaleNormal="100" zoomScaleSheetLayoutView="100" workbookViewId="0">
      <selection activeCell="C16" sqref="C16:D16"/>
    </sheetView>
  </sheetViews>
  <sheetFormatPr defaultRowHeight="14.4" x14ac:dyDescent="0.3"/>
  <cols>
    <col min="1" max="1" width="2" customWidth="1"/>
    <col min="2" max="2" width="29" customWidth="1"/>
    <col min="3" max="3" width="14.33203125" customWidth="1"/>
    <col min="4" max="4" width="13.6640625" customWidth="1"/>
    <col min="5" max="5" width="19.77734375" customWidth="1"/>
    <col min="6" max="6" width="11.5546875" customWidth="1"/>
    <col min="7" max="7" width="4.109375" customWidth="1"/>
  </cols>
  <sheetData>
    <row r="1" spans="1:15" ht="7.5" customHeigh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6.5" customHeight="1" x14ac:dyDescent="0.3">
      <c r="A2" s="23"/>
      <c r="B2" s="23" t="s">
        <v>35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3">
      <c r="A3" s="23"/>
      <c r="B3" s="123" t="s">
        <v>16</v>
      </c>
      <c r="C3" s="20" t="s">
        <v>17</v>
      </c>
      <c r="D3" s="123" t="s">
        <v>19</v>
      </c>
      <c r="E3" s="123" t="s">
        <v>20</v>
      </c>
      <c r="F3" s="123" t="s">
        <v>21</v>
      </c>
      <c r="G3" s="23"/>
      <c r="H3" s="23"/>
      <c r="I3" s="23"/>
      <c r="J3" s="23"/>
      <c r="K3" s="23"/>
      <c r="L3" s="23"/>
      <c r="M3" s="23"/>
      <c r="N3" s="23"/>
      <c r="O3" s="23"/>
    </row>
    <row r="4" spans="1:15" ht="33.75" customHeight="1" x14ac:dyDescent="0.3">
      <c r="A4" s="23"/>
      <c r="B4" s="123"/>
      <c r="C4" s="20" t="s">
        <v>18</v>
      </c>
      <c r="D4" s="123"/>
      <c r="E4" s="123"/>
      <c r="F4" s="1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3">
      <c r="A5" s="23"/>
      <c r="B5" s="4" t="s">
        <v>22</v>
      </c>
      <c r="C5" s="50">
        <f>Zakres!O28</f>
        <v>123000</v>
      </c>
      <c r="D5" s="50"/>
      <c r="E5" s="50"/>
      <c r="F5" s="21"/>
      <c r="G5" s="23"/>
      <c r="H5" s="23"/>
      <c r="I5" s="23"/>
      <c r="J5" s="23"/>
      <c r="K5" s="23"/>
      <c r="L5" s="23"/>
      <c r="M5" s="23"/>
      <c r="N5" s="23"/>
      <c r="O5" s="23"/>
    </row>
    <row r="6" spans="1:15" ht="34.5" customHeight="1" x14ac:dyDescent="0.3">
      <c r="A6" s="23"/>
      <c r="B6" s="4" t="s">
        <v>23</v>
      </c>
      <c r="C6" s="50">
        <f>RZS!C6</f>
        <v>360000</v>
      </c>
      <c r="D6" s="50">
        <f ca="1">SUMPRODUCT(Przychody!E7:OFFSET(uzasadnienie,-4,2),Przychody!G7:OFFSET(uzasadnienie,-4,4))</f>
        <v>720000</v>
      </c>
      <c r="E6" s="50">
        <f ca="1">SUMPRODUCT(Przychody!H7:OFFSET(uzasadnienie,-4,5),Przychody!I7:OFFSET(uzasadnienie,-4,6))</f>
        <v>840000</v>
      </c>
      <c r="F6" s="21"/>
      <c r="G6" s="23"/>
      <c r="H6" s="23"/>
      <c r="I6" s="23"/>
      <c r="J6" s="23"/>
      <c r="K6" s="23"/>
      <c r="L6" s="23"/>
      <c r="M6" s="23"/>
      <c r="N6" s="23"/>
      <c r="O6" s="23"/>
    </row>
    <row r="7" spans="1:15" ht="31.5" customHeight="1" x14ac:dyDescent="0.3">
      <c r="A7" s="23"/>
      <c r="B7" s="4" t="s">
        <v>24</v>
      </c>
      <c r="C7" s="50">
        <f>RZS!C29</f>
        <v>111261.2</v>
      </c>
      <c r="D7" s="50">
        <f>RZS!D29</f>
        <v>114030.82</v>
      </c>
      <c r="E7" s="50">
        <f>RZS!E29</f>
        <v>128056.302</v>
      </c>
      <c r="F7" s="21"/>
      <c r="G7" s="23"/>
      <c r="H7" s="23"/>
      <c r="I7" s="23"/>
      <c r="J7" s="23"/>
      <c r="K7" s="23"/>
      <c r="L7" s="23"/>
      <c r="M7" s="23"/>
      <c r="N7" s="23"/>
      <c r="O7" s="23"/>
    </row>
    <row r="8" spans="1:15" x14ac:dyDescent="0.3">
      <c r="A8" s="23"/>
      <c r="B8" s="4" t="s">
        <v>25</v>
      </c>
      <c r="C8" s="50">
        <f>C6-C7</f>
        <v>248738.8</v>
      </c>
      <c r="D8" s="50">
        <f t="shared" ref="D8:E8" ca="1" si="0">D6-D7</f>
        <v>605969.17999999993</v>
      </c>
      <c r="E8" s="50">
        <f t="shared" ca="1" si="0"/>
        <v>711943.69799999997</v>
      </c>
      <c r="F8" s="21"/>
      <c r="G8" s="23"/>
      <c r="H8" s="23"/>
      <c r="I8" s="23"/>
      <c r="J8" s="23"/>
      <c r="K8" s="23"/>
      <c r="L8" s="23"/>
      <c r="M8" s="23"/>
      <c r="N8" s="23"/>
      <c r="O8" s="23"/>
    </row>
    <row r="9" spans="1:15" ht="22.5" customHeight="1" x14ac:dyDescent="0.3">
      <c r="A9" s="23"/>
      <c r="B9" s="5" t="s">
        <v>26</v>
      </c>
      <c r="C9" s="124">
        <f>RZS!C31</f>
        <v>70539.216</v>
      </c>
      <c r="D9" s="124">
        <f ca="1">RZS!D31</f>
        <v>184852.9376</v>
      </c>
      <c r="E9" s="124">
        <f ca="1">RZS!E31</f>
        <v>218764.78336</v>
      </c>
      <c r="F9" s="125"/>
      <c r="G9" s="23"/>
      <c r="H9" s="23"/>
      <c r="I9" s="23"/>
      <c r="J9" s="23"/>
      <c r="K9" s="23"/>
      <c r="L9" s="23"/>
      <c r="M9" s="23"/>
      <c r="N9" s="23"/>
      <c r="O9" s="23"/>
    </row>
    <row r="10" spans="1:15" ht="17.25" customHeight="1" x14ac:dyDescent="0.3">
      <c r="A10" s="23"/>
      <c r="B10" s="146" t="s">
        <v>113</v>
      </c>
      <c r="C10" s="124"/>
      <c r="D10" s="124"/>
      <c r="E10" s="124"/>
      <c r="F10" s="125"/>
      <c r="G10" s="23"/>
      <c r="H10" s="23"/>
      <c r="I10" s="23"/>
      <c r="J10" s="23"/>
      <c r="K10" s="23"/>
      <c r="L10" s="23"/>
      <c r="M10" s="23"/>
      <c r="N10" s="23"/>
      <c r="O10" s="23"/>
    </row>
    <row r="11" spans="1:15" x14ac:dyDescent="0.3">
      <c r="A11" s="23"/>
      <c r="B11" s="5" t="s">
        <v>27</v>
      </c>
      <c r="C11" s="50">
        <f>C8-C9</f>
        <v>178199.58399999997</v>
      </c>
      <c r="D11" s="50">
        <f t="shared" ref="D11:E11" ca="1" si="1">D8-D9</f>
        <v>421116.24239999993</v>
      </c>
      <c r="E11" s="50">
        <f t="shared" ca="1" si="1"/>
        <v>493178.91463999997</v>
      </c>
      <c r="F11" s="21"/>
      <c r="G11" s="23"/>
      <c r="H11" s="23"/>
      <c r="I11" s="23"/>
      <c r="J11" s="23"/>
      <c r="K11" s="23"/>
      <c r="L11" s="23"/>
      <c r="M11" s="23"/>
      <c r="N11" s="23"/>
      <c r="O11" s="23"/>
    </row>
    <row r="12" spans="1:15" x14ac:dyDescent="0.3">
      <c r="A12" s="23"/>
      <c r="B12" s="5" t="s">
        <v>28</v>
      </c>
      <c r="C12" s="51"/>
      <c r="D12" s="51"/>
      <c r="E12" s="52">
        <f>Zakres!O29-SUM(RZS!J20:L20)</f>
        <v>95275</v>
      </c>
      <c r="F12" s="17"/>
      <c r="G12" s="23"/>
      <c r="H12" s="23"/>
      <c r="I12" s="23"/>
      <c r="J12" s="23"/>
      <c r="K12" s="23"/>
      <c r="L12" s="23"/>
      <c r="M12" s="23"/>
      <c r="N12" s="23"/>
      <c r="O12" s="23"/>
    </row>
    <row r="13" spans="1:15" x14ac:dyDescent="0.3">
      <c r="A13" s="23"/>
      <c r="B13" s="5" t="s">
        <v>29</v>
      </c>
      <c r="C13" s="50">
        <f>IF(RZS!C20="",0,RZS!C20)+IF(RZS!C21="",0,RZS!C21)</f>
        <v>60000</v>
      </c>
      <c r="D13" s="50">
        <f>IF(RZS!D20="",0,RZS!D20)+IF(RZS!D21="",0,RZS!D21)</f>
        <v>60000</v>
      </c>
      <c r="E13" s="50">
        <f>IF(RZS!E20="",0,RZS!E20)+IF(RZS!E21="",0,RZS!E21)</f>
        <v>60000</v>
      </c>
      <c r="F13" s="21"/>
      <c r="G13" s="23"/>
      <c r="H13" s="23"/>
      <c r="I13" s="23"/>
      <c r="J13" s="23"/>
      <c r="K13" s="23"/>
      <c r="L13" s="23"/>
      <c r="M13" s="23"/>
      <c r="N13" s="23"/>
      <c r="O13" s="23"/>
    </row>
    <row r="14" spans="1:15" x14ac:dyDescent="0.3">
      <c r="A14" s="23"/>
      <c r="B14" s="5" t="s">
        <v>30</v>
      </c>
      <c r="C14" s="50">
        <f t="shared" ref="C14:D14" si="2">(-C5)+C11+C13</f>
        <v>115199.58399999997</v>
      </c>
      <c r="D14" s="50">
        <f t="shared" ca="1" si="2"/>
        <v>481116.24239999993</v>
      </c>
      <c r="E14" s="50">
        <f ca="1">(-E5)+E11+E13+E12</f>
        <v>648453.91463999997</v>
      </c>
      <c r="F14" s="21"/>
      <c r="G14" s="23"/>
      <c r="H14" s="23"/>
      <c r="I14" s="23"/>
      <c r="J14" s="23"/>
      <c r="K14" s="23"/>
      <c r="L14" s="23"/>
      <c r="M14" s="23"/>
      <c r="N14" s="23"/>
      <c r="O14" s="23"/>
    </row>
    <row r="15" spans="1:15" ht="26.4" x14ac:dyDescent="0.3">
      <c r="A15" s="23"/>
      <c r="B15" s="5" t="s">
        <v>31</v>
      </c>
      <c r="C15" s="49">
        <f>1/(1+$G15)^0</f>
        <v>1</v>
      </c>
      <c r="D15" s="49">
        <f>ROUND(1/(1+$G15)^1,4)</f>
        <v>0.97250000000000003</v>
      </c>
      <c r="E15" s="49">
        <f>ROUND(1/(1+$G15)^2,4)</f>
        <v>0.94569999999999999</v>
      </c>
      <c r="F15" s="18"/>
      <c r="G15" s="22">
        <v>2.8299999999999999E-2</v>
      </c>
      <c r="H15" s="23"/>
      <c r="I15" s="23"/>
      <c r="J15" s="23"/>
      <c r="K15" s="23"/>
      <c r="L15" s="23"/>
      <c r="M15" s="23"/>
      <c r="N15" s="23"/>
      <c r="O15" s="23"/>
    </row>
    <row r="16" spans="1:15" x14ac:dyDescent="0.3">
      <c r="A16" s="23"/>
      <c r="B16" s="6" t="s">
        <v>32</v>
      </c>
      <c r="C16" s="119">
        <f ca="1">SUMPRODUCT(C14:E14,C15:E15)</f>
        <v>1196327.9968090479</v>
      </c>
      <c r="D16" s="119"/>
      <c r="E16" s="120"/>
      <c r="F16" s="120"/>
      <c r="G16" s="23"/>
      <c r="H16" s="23"/>
      <c r="I16" s="23"/>
      <c r="J16" s="23"/>
      <c r="K16" s="23"/>
      <c r="L16" s="23"/>
      <c r="M16" s="23"/>
      <c r="N16" s="23"/>
      <c r="O16" s="23"/>
    </row>
    <row r="17" spans="1:15" x14ac:dyDescent="0.3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x14ac:dyDescent="0.3">
      <c r="A18" s="23"/>
      <c r="B18" s="23"/>
      <c r="C18" s="23"/>
      <c r="D18" s="23"/>
      <c r="E18" s="23"/>
      <c r="F18" s="23"/>
      <c r="G18" s="23"/>
      <c r="H18" s="23" t="s">
        <v>83</v>
      </c>
      <c r="I18" s="23"/>
      <c r="J18" s="23"/>
      <c r="K18" s="23"/>
      <c r="L18" s="23"/>
      <c r="M18" s="23"/>
      <c r="N18" s="23"/>
      <c r="O18" s="23"/>
    </row>
    <row r="19" spans="1:15" x14ac:dyDescent="0.3">
      <c r="A19" s="23"/>
      <c r="B19" s="23" t="s">
        <v>36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x14ac:dyDescent="0.3">
      <c r="A20" s="23"/>
      <c r="B20" s="121"/>
      <c r="C20" s="122" t="s">
        <v>33</v>
      </c>
      <c r="D20" s="122" t="s">
        <v>19</v>
      </c>
      <c r="E20" s="122" t="s">
        <v>20</v>
      </c>
      <c r="F20" s="122" t="s">
        <v>21</v>
      </c>
      <c r="G20" s="3"/>
      <c r="H20" s="23"/>
      <c r="I20" s="23"/>
      <c r="J20" s="23"/>
      <c r="K20" s="23"/>
      <c r="L20" s="23"/>
      <c r="M20" s="23"/>
      <c r="N20" s="23"/>
      <c r="O20" s="23"/>
    </row>
    <row r="21" spans="1:15" x14ac:dyDescent="0.3">
      <c r="A21" s="23"/>
      <c r="B21" s="121"/>
      <c r="C21" s="122"/>
      <c r="D21" s="122"/>
      <c r="E21" s="122"/>
      <c r="F21" s="122"/>
      <c r="G21" s="3"/>
      <c r="H21" s="23"/>
      <c r="I21" s="23"/>
      <c r="J21" s="23"/>
      <c r="K21" s="23"/>
      <c r="L21" s="23"/>
      <c r="M21" s="23"/>
      <c r="N21" s="23"/>
      <c r="O21" s="23"/>
    </row>
    <row r="22" spans="1:15" ht="26.4" x14ac:dyDescent="0.3">
      <c r="A22" s="23"/>
      <c r="B22" s="1" t="s">
        <v>34</v>
      </c>
      <c r="C22" s="7">
        <f>IF(RZS!C6=0,"",RZS!C30/RZS!C6*100%)</f>
        <v>0.76795499999999994</v>
      </c>
      <c r="D22" s="7">
        <f ca="1">IF(RZS!D6=0,"",RZS!D30/RZS!D6*100%)</f>
        <v>0.88013080555555545</v>
      </c>
      <c r="E22" s="7">
        <f ca="1">IF(RZS!E6=0,"",RZS!E30/RZS!E6*100%)</f>
        <v>0.88055797380952383</v>
      </c>
      <c r="F22" s="19" t="str">
        <f>IF(RZS!F6=0,"",RZS!F30/RZS!F6*100%)</f>
        <v/>
      </c>
      <c r="G22" s="3"/>
      <c r="H22" s="23"/>
      <c r="I22" s="23"/>
      <c r="J22" s="23"/>
      <c r="K22" s="23"/>
      <c r="L22" s="23"/>
      <c r="M22" s="23"/>
      <c r="N22" s="23"/>
      <c r="O22" s="23"/>
    </row>
    <row r="23" spans="1:15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</sheetData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2" orientation="portrait" verticalDpi="599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topLeftCell="A2" workbookViewId="0">
      <selection activeCell="C10" sqref="C10:F10"/>
    </sheetView>
  </sheetViews>
  <sheetFormatPr defaultRowHeight="14.4" x14ac:dyDescent="0.3"/>
  <cols>
    <col min="3" max="3" width="10.77734375" style="132" bestFit="1" customWidth="1"/>
    <col min="4" max="4" width="17.5546875" style="132" customWidth="1"/>
    <col min="5" max="6" width="10.77734375" style="132" bestFit="1" customWidth="1"/>
  </cols>
  <sheetData>
    <row r="1" spans="1:8" ht="23.4" customHeight="1" thickBot="1" x14ac:dyDescent="0.35">
      <c r="A1" s="154" t="s">
        <v>115</v>
      </c>
      <c r="B1" s="157" t="s">
        <v>116</v>
      </c>
      <c r="C1" s="156"/>
      <c r="D1" s="156"/>
      <c r="E1" s="156"/>
      <c r="F1" s="156"/>
      <c r="G1" s="158"/>
    </row>
    <row r="2" spans="1:8" ht="29.4" thickBot="1" x14ac:dyDescent="0.35">
      <c r="A2" s="155"/>
      <c r="B2" s="147" t="s">
        <v>117</v>
      </c>
      <c r="C2" s="160" t="s">
        <v>118</v>
      </c>
      <c r="D2" s="161" t="s">
        <v>119</v>
      </c>
      <c r="E2" s="160" t="s">
        <v>11</v>
      </c>
      <c r="F2" s="162" t="s">
        <v>12</v>
      </c>
      <c r="G2" s="148" t="s">
        <v>120</v>
      </c>
    </row>
    <row r="3" spans="1:8" ht="27" thickBot="1" x14ac:dyDescent="0.35">
      <c r="A3" s="149" t="s">
        <v>121</v>
      </c>
      <c r="B3" s="150"/>
      <c r="C3" s="163">
        <v>80000</v>
      </c>
      <c r="D3" s="163">
        <v>20000</v>
      </c>
      <c r="E3" s="164"/>
      <c r="F3" s="164"/>
      <c r="G3" s="151"/>
    </row>
    <row r="4" spans="1:8" ht="27" thickBot="1" x14ac:dyDescent="0.35">
      <c r="A4" s="149" t="s">
        <v>122</v>
      </c>
      <c r="B4" s="150"/>
      <c r="C4" s="163">
        <f>suma1-Arkusz1!C3</f>
        <v>51500</v>
      </c>
      <c r="D4" s="163">
        <f>RZS!C29-Arkusz1!D3</f>
        <v>91261.2</v>
      </c>
      <c r="E4" s="163">
        <f>RZS!D29</f>
        <v>114030.82</v>
      </c>
      <c r="F4" s="163">
        <f>RZS!E29</f>
        <v>128056.302</v>
      </c>
      <c r="G4" s="151"/>
    </row>
    <row r="5" spans="1:8" ht="66.599999999999994" thickBot="1" x14ac:dyDescent="0.35">
      <c r="A5" s="152" t="s">
        <v>123</v>
      </c>
      <c r="B5" s="150"/>
      <c r="C5" s="163"/>
      <c r="D5" s="163"/>
      <c r="E5" s="163"/>
      <c r="F5" s="163"/>
      <c r="G5" s="151"/>
    </row>
    <row r="6" spans="1:8" ht="106.2" thickBot="1" x14ac:dyDescent="0.35">
      <c r="A6" s="152" t="s">
        <v>124</v>
      </c>
      <c r="B6" s="150"/>
      <c r="C6" s="163"/>
      <c r="D6" s="163"/>
      <c r="E6" s="163"/>
      <c r="F6" s="163"/>
      <c r="G6" s="151"/>
    </row>
    <row r="7" spans="1:8" ht="40.200000000000003" thickBot="1" x14ac:dyDescent="0.35">
      <c r="A7" s="152" t="s">
        <v>125</v>
      </c>
      <c r="B7" s="151"/>
      <c r="C7" s="164"/>
      <c r="D7" s="164"/>
      <c r="E7" s="164"/>
      <c r="F7" s="164"/>
      <c r="G7" s="151"/>
    </row>
    <row r="8" spans="1:8" ht="15" thickBot="1" x14ac:dyDescent="0.35">
      <c r="A8" s="153"/>
      <c r="B8" s="150"/>
      <c r="C8" s="163"/>
      <c r="D8" s="163"/>
      <c r="E8" s="163"/>
      <c r="F8" s="163"/>
      <c r="G8" s="151"/>
    </row>
    <row r="9" spans="1:8" ht="15" thickBot="1" x14ac:dyDescent="0.35">
      <c r="A9" s="153"/>
      <c r="B9" s="150"/>
      <c r="C9" s="163"/>
      <c r="D9" s="163"/>
      <c r="E9" s="163"/>
      <c r="F9" s="163"/>
      <c r="G9" s="151"/>
    </row>
    <row r="10" spans="1:8" ht="66.599999999999994" thickBot="1" x14ac:dyDescent="0.35">
      <c r="A10" s="152" t="s">
        <v>126</v>
      </c>
      <c r="B10" s="150"/>
      <c r="C10" s="163">
        <f>SUM(C3:C6)</f>
        <v>131500</v>
      </c>
      <c r="D10" s="163">
        <f t="shared" ref="D10:F10" si="0">SUM(D3:D6)</f>
        <v>111261.2</v>
      </c>
      <c r="E10" s="163">
        <f t="shared" si="0"/>
        <v>114030.82</v>
      </c>
      <c r="F10" s="163">
        <f t="shared" si="0"/>
        <v>128056.302</v>
      </c>
      <c r="G10" s="151"/>
      <c r="H10" t="s">
        <v>129</v>
      </c>
    </row>
    <row r="13" spans="1:8" x14ac:dyDescent="0.3">
      <c r="A13" s="159" t="s">
        <v>127</v>
      </c>
    </row>
    <row r="14" spans="1:8" x14ac:dyDescent="0.3">
      <c r="A14" s="159" t="s">
        <v>128</v>
      </c>
    </row>
  </sheetData>
  <mergeCells count="2">
    <mergeCell ref="A1:A2"/>
    <mergeCell ref="B1:G1"/>
  </mergeCells>
  <hyperlinks>
    <hyperlink ref="D2" location="_ftn1" display="_ftn1"/>
    <hyperlink ref="G2" location="_ftn2" display="_ftn2"/>
    <hyperlink ref="A13" location="_ftnref1" display="_ftnref1"/>
    <hyperlink ref="A14" location="_ftnref2" display="_ftnref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12</vt:i4>
      </vt:variant>
    </vt:vector>
  </HeadingPairs>
  <TitlesOfParts>
    <vt:vector size="17" baseType="lpstr">
      <vt:lpstr>Zakres</vt:lpstr>
      <vt:lpstr>Przychody</vt:lpstr>
      <vt:lpstr>RZS</vt:lpstr>
      <vt:lpstr>NPV + wsk_rent</vt:lpstr>
      <vt:lpstr>Arkusz1</vt:lpstr>
      <vt:lpstr>Arkusz1!_ftn1</vt:lpstr>
      <vt:lpstr>Arkusz1!_ftn2</vt:lpstr>
      <vt:lpstr>Arkusz1!_ftnref1</vt:lpstr>
      <vt:lpstr>Arkusz1!_ftnref2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esnażyk</cp:lastModifiedBy>
  <cp:lastPrinted>2017-02-06T11:48:00Z</cp:lastPrinted>
  <dcterms:created xsi:type="dcterms:W3CDTF">2017-01-11T14:22:24Z</dcterms:created>
  <dcterms:modified xsi:type="dcterms:W3CDTF">2022-03-02T12:14:40Z</dcterms:modified>
</cp:coreProperties>
</file>